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955" windowWidth="20115" windowHeight="1185"/>
  </bookViews>
  <sheets>
    <sheet name="Премија" sheetId="1" r:id="rId1"/>
    <sheet name="Број на склучени договори" sheetId="2" r:id="rId2"/>
    <sheet name="Ликвидирани штети" sheetId="3" r:id="rId3"/>
    <sheet name="Број на ликвидирани штети" sheetId="4" r:id="rId4"/>
    <sheet name="Број на резервирани штети" sheetId="5" r:id="rId5"/>
    <sheet name="Резервации" sheetId="6" r:id="rId6"/>
    <sheet name="Не пријавени штети" sheetId="58" r:id="rId7"/>
    <sheet name="ЗАО договори" sheetId="8" r:id="rId8"/>
    <sheet name="ЗАО Премија" sheetId="9" r:id="rId9"/>
    <sheet name="ЗК Број Премија" sheetId="12" r:id="rId10"/>
    <sheet name="ГР Број и Премија " sheetId="53" r:id="rId11"/>
    <sheet name="ЗАО број Лик штети" sheetId="32" r:id="rId12"/>
    <sheet name="ЗАО Ликвидирани штети" sheetId="31" r:id="rId13"/>
    <sheet name="ЗК број и штети" sheetId="30" r:id="rId14"/>
    <sheet name="ГР Број Штети" sheetId="29" r:id="rId15"/>
    <sheet name="Техничка премија" sheetId="10" r:id="rId16"/>
    <sheet name="Рез за настанати при штети" sheetId="17" r:id="rId17"/>
    <sheet name="Продажба по канали" sheetId="34" r:id="rId18"/>
    <sheet name="Бруто тех" sheetId="47" r:id="rId19"/>
    <sheet name="Вкупно" sheetId="5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45621"/>
</workbook>
</file>

<file path=xl/calcChain.xml><?xml version="1.0" encoding="utf-8"?>
<calcChain xmlns="http://schemas.openxmlformats.org/spreadsheetml/2006/main">
  <c r="N30" i="30" l="1"/>
  <c r="J15" i="47" l="1"/>
  <c r="F15" i="47"/>
  <c r="E15" i="47"/>
  <c r="D15" i="47"/>
  <c r="C15" i="47"/>
  <c r="K7" i="17"/>
  <c r="K6" i="17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28" i="29"/>
  <c r="K27" i="29"/>
  <c r="K26" i="29"/>
  <c r="K25" i="29"/>
  <c r="K24" i="29"/>
  <c r="K23" i="29"/>
  <c r="K22" i="29"/>
  <c r="K21" i="29"/>
  <c r="K12" i="29"/>
  <c r="K11" i="29"/>
  <c r="K10" i="29"/>
  <c r="K9" i="29"/>
  <c r="K8" i="29"/>
  <c r="K7" i="29"/>
  <c r="K6" i="29"/>
  <c r="K5" i="29"/>
  <c r="K29" i="30"/>
  <c r="K28" i="30"/>
  <c r="K27" i="30"/>
  <c r="K26" i="30"/>
  <c r="K25" i="30"/>
  <c r="K24" i="30"/>
  <c r="K23" i="30"/>
  <c r="K22" i="30"/>
  <c r="K12" i="30"/>
  <c r="K11" i="30"/>
  <c r="K10" i="30"/>
  <c r="K9" i="30"/>
  <c r="K8" i="30"/>
  <c r="K7" i="30"/>
  <c r="K6" i="30"/>
  <c r="K5" i="30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K28" i="53"/>
  <c r="K27" i="53"/>
  <c r="K26" i="53"/>
  <c r="K25" i="53"/>
  <c r="K24" i="53"/>
  <c r="K23" i="53"/>
  <c r="K22" i="53"/>
  <c r="K21" i="53"/>
  <c r="K12" i="53"/>
  <c r="K11" i="53"/>
  <c r="K10" i="53"/>
  <c r="K9" i="53"/>
  <c r="K8" i="53"/>
  <c r="K7" i="53"/>
  <c r="K6" i="53"/>
  <c r="K5" i="53"/>
  <c r="K29" i="12"/>
  <c r="K28" i="12"/>
  <c r="K27" i="12"/>
  <c r="K26" i="12"/>
  <c r="K25" i="12"/>
  <c r="K24" i="12"/>
  <c r="K23" i="12"/>
  <c r="K22" i="12"/>
  <c r="K12" i="12"/>
  <c r="K11" i="12"/>
  <c r="K10" i="12"/>
  <c r="K9" i="12"/>
  <c r="K8" i="12"/>
  <c r="K7" i="12"/>
  <c r="K6" i="12"/>
  <c r="K5" i="12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8" i="58"/>
  <c r="K7" i="58"/>
  <c r="K6" i="58"/>
  <c r="K5" i="58"/>
  <c r="K4" i="58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21" i="3"/>
  <c r="K20" i="3"/>
  <c r="K19" i="3"/>
  <c r="K18" i="3"/>
  <c r="K21" i="2"/>
  <c r="K20" i="2"/>
  <c r="K19" i="2"/>
  <c r="K18" i="2"/>
  <c r="K18" i="1"/>
  <c r="K19" i="1"/>
  <c r="K21" i="1"/>
  <c r="K20" i="1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22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G15" i="47" l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34" i="34"/>
  <c r="J33" i="34"/>
  <c r="J32" i="34"/>
  <c r="J30" i="34"/>
  <c r="J29" i="34"/>
  <c r="J28" i="34"/>
  <c r="J26" i="34"/>
  <c r="J25" i="34"/>
  <c r="J24" i="34"/>
  <c r="J22" i="34"/>
  <c r="J21" i="34"/>
  <c r="J20" i="34"/>
  <c r="J18" i="34"/>
  <c r="J17" i="34"/>
  <c r="J16" i="34"/>
  <c r="J14" i="34"/>
  <c r="J13" i="34"/>
  <c r="J12" i="34"/>
  <c r="J10" i="34"/>
  <c r="J9" i="34"/>
  <c r="J8" i="34"/>
  <c r="J6" i="34"/>
  <c r="J5" i="34"/>
  <c r="J4" i="34"/>
  <c r="G6" i="34" l="1"/>
  <c r="G5" i="31"/>
  <c r="H5" i="31"/>
  <c r="I5" i="31"/>
  <c r="J5" i="31"/>
  <c r="L5" i="31"/>
  <c r="G6" i="31"/>
  <c r="H6" i="31"/>
  <c r="I6" i="31"/>
  <c r="J6" i="31"/>
  <c r="L6" i="31"/>
  <c r="G7" i="31"/>
  <c r="H7" i="31"/>
  <c r="I7" i="31"/>
  <c r="J7" i="31"/>
  <c r="L7" i="31"/>
  <c r="G8" i="31"/>
  <c r="H8" i="31"/>
  <c r="I8" i="31"/>
  <c r="J8" i="31"/>
  <c r="L8" i="31"/>
  <c r="G9" i="31"/>
  <c r="H9" i="31"/>
  <c r="I9" i="31"/>
  <c r="J9" i="31"/>
  <c r="L9" i="31"/>
  <c r="G10" i="31"/>
  <c r="H10" i="31"/>
  <c r="I10" i="31"/>
  <c r="J10" i="31"/>
  <c r="L10" i="31"/>
  <c r="G11" i="31"/>
  <c r="H11" i="31"/>
  <c r="I11" i="31"/>
  <c r="J11" i="31"/>
  <c r="L11" i="31"/>
  <c r="G12" i="31"/>
  <c r="H12" i="31"/>
  <c r="I12" i="31"/>
  <c r="J12" i="31"/>
  <c r="L12" i="31"/>
  <c r="G13" i="31"/>
  <c r="H13" i="31"/>
  <c r="I13" i="31"/>
  <c r="J13" i="31"/>
  <c r="L13" i="31"/>
  <c r="G14" i="31"/>
  <c r="H14" i="31"/>
  <c r="I14" i="31"/>
  <c r="J14" i="31"/>
  <c r="L14" i="31"/>
  <c r="G15" i="31"/>
  <c r="H15" i="31"/>
  <c r="I15" i="31"/>
  <c r="J15" i="31"/>
  <c r="L15" i="31"/>
  <c r="G16" i="31"/>
  <c r="H16" i="31"/>
  <c r="I16" i="31"/>
  <c r="J16" i="31"/>
  <c r="K18" i="31"/>
  <c r="L16" i="31"/>
  <c r="G17" i="31"/>
  <c r="H17" i="31"/>
  <c r="I17" i="31"/>
  <c r="J17" i="31"/>
  <c r="L17" i="31"/>
  <c r="G5" i="8"/>
  <c r="H18" i="31" l="1"/>
  <c r="L18" i="31"/>
  <c r="J18" i="31"/>
  <c r="G18" i="31"/>
  <c r="I18" i="31"/>
  <c r="L10" i="34"/>
  <c r="L34" i="34" l="1"/>
  <c r="L33" i="34"/>
  <c r="L32" i="34"/>
  <c r="L30" i="34"/>
  <c r="L29" i="34"/>
  <c r="L28" i="34"/>
  <c r="L26" i="34"/>
  <c r="L25" i="34"/>
  <c r="L24" i="34"/>
  <c r="L22" i="34"/>
  <c r="L21" i="34"/>
  <c r="L20" i="34"/>
  <c r="L18" i="34"/>
  <c r="L17" i="34"/>
  <c r="L16" i="34"/>
  <c r="L12" i="34"/>
  <c r="L14" i="34"/>
  <c r="L13" i="34"/>
  <c r="L9" i="34"/>
  <c r="L8" i="34"/>
  <c r="L6" i="34"/>
  <c r="L5" i="34"/>
  <c r="L4" i="34"/>
  <c r="I6" i="47" l="1"/>
  <c r="H6" i="47"/>
  <c r="J17" i="47"/>
  <c r="F17" i="47"/>
  <c r="E17" i="47"/>
  <c r="D17" i="47"/>
  <c r="C17" i="47"/>
  <c r="M7" i="17"/>
  <c r="M6" i="17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28" i="29"/>
  <c r="M27" i="29"/>
  <c r="M26" i="29"/>
  <c r="M25" i="29"/>
  <c r="M24" i="29"/>
  <c r="M23" i="29"/>
  <c r="M22" i="29"/>
  <c r="M21" i="29"/>
  <c r="M12" i="29"/>
  <c r="M11" i="29"/>
  <c r="M10" i="29"/>
  <c r="M9" i="29"/>
  <c r="M8" i="29"/>
  <c r="M7" i="29"/>
  <c r="M6" i="29"/>
  <c r="M5" i="29"/>
  <c r="M29" i="30"/>
  <c r="M28" i="30"/>
  <c r="M27" i="30"/>
  <c r="M26" i="30"/>
  <c r="M25" i="30"/>
  <c r="M24" i="30"/>
  <c r="M23" i="30"/>
  <c r="M22" i="30"/>
  <c r="M12" i="30"/>
  <c r="M11" i="30"/>
  <c r="M10" i="30"/>
  <c r="M9" i="30"/>
  <c r="M8" i="30"/>
  <c r="M7" i="30"/>
  <c r="M6" i="30"/>
  <c r="M5" i="30"/>
  <c r="M13" i="29" l="1"/>
  <c r="M13" i="30"/>
  <c r="M30" i="30"/>
  <c r="M29" i="29"/>
  <c r="M22" i="10"/>
  <c r="G17" i="47"/>
  <c r="K17" i="47" s="1"/>
  <c r="M17" i="31"/>
  <c r="M16" i="31"/>
  <c r="M15" i="31"/>
  <c r="M14" i="31"/>
  <c r="M13" i="31"/>
  <c r="M12" i="31"/>
  <c r="M11" i="31"/>
  <c r="M10" i="31"/>
  <c r="M9" i="31"/>
  <c r="M8" i="31"/>
  <c r="M7" i="31"/>
  <c r="M6" i="31"/>
  <c r="M5" i="31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28" i="53"/>
  <c r="M27" i="53"/>
  <c r="M26" i="53"/>
  <c r="M25" i="53"/>
  <c r="M24" i="53"/>
  <c r="M23" i="53"/>
  <c r="M22" i="53"/>
  <c r="M21" i="53"/>
  <c r="M12" i="53"/>
  <c r="M11" i="53"/>
  <c r="M10" i="53"/>
  <c r="M9" i="53"/>
  <c r="M8" i="53"/>
  <c r="M7" i="53"/>
  <c r="M6" i="53"/>
  <c r="M5" i="53"/>
  <c r="M29" i="12"/>
  <c r="M28" i="12"/>
  <c r="M27" i="12"/>
  <c r="M26" i="12"/>
  <c r="M25" i="12"/>
  <c r="M24" i="12"/>
  <c r="M23" i="12"/>
  <c r="M22" i="12"/>
  <c r="M12" i="12"/>
  <c r="M11" i="12"/>
  <c r="M10" i="12"/>
  <c r="M9" i="12"/>
  <c r="M8" i="12"/>
  <c r="M7" i="12"/>
  <c r="M6" i="12"/>
  <c r="M5" i="12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5" i="58"/>
  <c r="M7" i="58"/>
  <c r="M8" i="58"/>
  <c r="M9" i="58"/>
  <c r="M10" i="58"/>
  <c r="M14" i="58"/>
  <c r="M15" i="58"/>
  <c r="M21" i="58"/>
  <c r="M20" i="58"/>
  <c r="M19" i="58"/>
  <c r="M18" i="58"/>
  <c r="M17" i="58"/>
  <c r="M16" i="58"/>
  <c r="M13" i="58"/>
  <c r="M12" i="58"/>
  <c r="M11" i="58"/>
  <c r="M6" i="58"/>
  <c r="M4" i="58"/>
  <c r="H28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3" i="12" l="1"/>
  <c r="M30" i="12"/>
  <c r="M13" i="53"/>
  <c r="M29" i="53"/>
  <c r="M18" i="8"/>
  <c r="M22" i="5"/>
  <c r="M19" i="9"/>
  <c r="M18" i="32"/>
  <c r="M22" i="4"/>
  <c r="M22" i="6"/>
  <c r="M18" i="31"/>
  <c r="M22" i="58"/>
  <c r="M22" i="3"/>
  <c r="M6" i="1"/>
  <c r="M5" i="1"/>
  <c r="M4" i="1"/>
  <c r="M22" i="1" s="1"/>
  <c r="C7" i="10" l="1"/>
  <c r="I24" i="47" l="1"/>
  <c r="F24" i="47"/>
  <c r="E24" i="47"/>
  <c r="G24" i="47" s="1"/>
  <c r="D24" i="47"/>
  <c r="C24" i="47"/>
  <c r="J18" i="47"/>
  <c r="H18" i="47"/>
  <c r="H13" i="17"/>
  <c r="H12" i="17"/>
  <c r="H28" i="10"/>
  <c r="H28" i="58"/>
  <c r="H28" i="5"/>
  <c r="H28" i="4"/>
  <c r="H28" i="3"/>
  <c r="H28" i="2"/>
  <c r="H28" i="1"/>
  <c r="K24" i="47" l="1"/>
  <c r="F28" i="2" l="1"/>
  <c r="J15" i="6" l="1"/>
  <c r="I20" i="6"/>
  <c r="C23" i="47" l="1"/>
  <c r="I21" i="47" l="1"/>
  <c r="F21" i="47"/>
  <c r="E21" i="47"/>
  <c r="D21" i="47"/>
  <c r="C21" i="47"/>
  <c r="E13" i="17"/>
  <c r="E12" i="17"/>
  <c r="E28" i="10"/>
  <c r="E28" i="58"/>
  <c r="E28" i="6"/>
  <c r="E28" i="5"/>
  <c r="F28" i="4"/>
  <c r="E28" i="4"/>
  <c r="E28" i="3"/>
  <c r="E28" i="2"/>
  <c r="E28" i="1"/>
  <c r="G7" i="1"/>
  <c r="G13" i="1"/>
  <c r="G21" i="47" l="1"/>
  <c r="J16" i="47" l="1"/>
  <c r="F16" i="47"/>
  <c r="E16" i="47"/>
  <c r="D16" i="47"/>
  <c r="C16" i="47"/>
  <c r="K34" i="34"/>
  <c r="K33" i="34"/>
  <c r="K32" i="34"/>
  <c r="K30" i="34"/>
  <c r="K29" i="34"/>
  <c r="K28" i="34"/>
  <c r="K26" i="34"/>
  <c r="K25" i="34"/>
  <c r="K24" i="34"/>
  <c r="K22" i="34"/>
  <c r="K21" i="34"/>
  <c r="K20" i="34"/>
  <c r="K18" i="34"/>
  <c r="K17" i="34"/>
  <c r="K16" i="34"/>
  <c r="K14" i="34"/>
  <c r="K13" i="34"/>
  <c r="K12" i="34"/>
  <c r="K10" i="34"/>
  <c r="K9" i="34"/>
  <c r="K8" i="34"/>
  <c r="K6" i="34"/>
  <c r="K5" i="34"/>
  <c r="K4" i="34"/>
  <c r="L7" i="17"/>
  <c r="L6" i="17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28" i="29"/>
  <c r="L27" i="29"/>
  <c r="L26" i="29"/>
  <c r="L25" i="29"/>
  <c r="L24" i="29"/>
  <c r="L23" i="29"/>
  <c r="L22" i="29"/>
  <c r="L21" i="29"/>
  <c r="L12" i="29"/>
  <c r="L11" i="29"/>
  <c r="L10" i="29"/>
  <c r="L9" i="29"/>
  <c r="L8" i="29"/>
  <c r="L7" i="29"/>
  <c r="L6" i="29"/>
  <c r="L5" i="29"/>
  <c r="L29" i="30"/>
  <c r="L28" i="30"/>
  <c r="L27" i="30"/>
  <c r="L26" i="30"/>
  <c r="L25" i="30"/>
  <c r="L24" i="30"/>
  <c r="L23" i="30"/>
  <c r="L22" i="30"/>
  <c r="L12" i="30"/>
  <c r="L11" i="30"/>
  <c r="L10" i="30"/>
  <c r="L9" i="30"/>
  <c r="L8" i="30"/>
  <c r="L7" i="30"/>
  <c r="L6" i="30"/>
  <c r="L5" i="30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28" i="53"/>
  <c r="L27" i="53"/>
  <c r="L26" i="53"/>
  <c r="L25" i="53"/>
  <c r="L24" i="53"/>
  <c r="L23" i="53"/>
  <c r="L22" i="53"/>
  <c r="L21" i="53"/>
  <c r="L12" i="53"/>
  <c r="L11" i="53"/>
  <c r="L10" i="53"/>
  <c r="L9" i="53"/>
  <c r="L8" i="53"/>
  <c r="L7" i="53"/>
  <c r="L6" i="53"/>
  <c r="L5" i="53"/>
  <c r="L29" i="12"/>
  <c r="L28" i="12"/>
  <c r="L27" i="12"/>
  <c r="L26" i="12"/>
  <c r="L25" i="12"/>
  <c r="L24" i="12"/>
  <c r="L23" i="12"/>
  <c r="L22" i="12"/>
  <c r="L12" i="12"/>
  <c r="L11" i="12"/>
  <c r="L10" i="12"/>
  <c r="L9" i="12"/>
  <c r="L8" i="12"/>
  <c r="L7" i="12"/>
  <c r="L6" i="12"/>
  <c r="L5" i="12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G16" i="47" l="1"/>
  <c r="L22" i="1"/>
  <c r="J14" i="47"/>
  <c r="F14" i="47"/>
  <c r="E14" i="47"/>
  <c r="D14" i="47"/>
  <c r="C14" i="47"/>
  <c r="I34" i="34"/>
  <c r="I33" i="34"/>
  <c r="I32" i="34"/>
  <c r="I30" i="34"/>
  <c r="I29" i="34"/>
  <c r="I28" i="34"/>
  <c r="I26" i="34"/>
  <c r="I25" i="34"/>
  <c r="I24" i="34"/>
  <c r="I22" i="34"/>
  <c r="I21" i="34"/>
  <c r="I20" i="34"/>
  <c r="I18" i="34"/>
  <c r="I17" i="34"/>
  <c r="I16" i="34"/>
  <c r="I14" i="34"/>
  <c r="I13" i="34"/>
  <c r="I12" i="34"/>
  <c r="I10" i="34"/>
  <c r="I9" i="34"/>
  <c r="I8" i="34"/>
  <c r="I6" i="34"/>
  <c r="I5" i="34"/>
  <c r="I4" i="34"/>
  <c r="J7" i="17"/>
  <c r="J6" i="17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28" i="29"/>
  <c r="J27" i="29"/>
  <c r="J26" i="29"/>
  <c r="J25" i="29"/>
  <c r="J24" i="29"/>
  <c r="J23" i="29"/>
  <c r="J22" i="29"/>
  <c r="J21" i="29"/>
  <c r="J12" i="29"/>
  <c r="J11" i="29"/>
  <c r="J10" i="29"/>
  <c r="J9" i="29"/>
  <c r="J8" i="29"/>
  <c r="J7" i="29"/>
  <c r="J6" i="29"/>
  <c r="J5" i="29"/>
  <c r="J29" i="30"/>
  <c r="J28" i="30"/>
  <c r="J27" i="30"/>
  <c r="J26" i="30"/>
  <c r="J25" i="30"/>
  <c r="J24" i="30"/>
  <c r="J23" i="30"/>
  <c r="J22" i="30"/>
  <c r="J12" i="30"/>
  <c r="J11" i="30"/>
  <c r="J10" i="30"/>
  <c r="J9" i="30"/>
  <c r="J8" i="30"/>
  <c r="J7" i="30"/>
  <c r="J6" i="30"/>
  <c r="J5" i="30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28" i="53"/>
  <c r="J27" i="53"/>
  <c r="J26" i="53"/>
  <c r="J25" i="53"/>
  <c r="J24" i="53"/>
  <c r="J23" i="53"/>
  <c r="J22" i="53"/>
  <c r="J21" i="53"/>
  <c r="J12" i="53"/>
  <c r="J11" i="53"/>
  <c r="J10" i="53"/>
  <c r="J9" i="53"/>
  <c r="J8" i="53"/>
  <c r="J7" i="53"/>
  <c r="J6" i="53"/>
  <c r="J5" i="53"/>
  <c r="J29" i="12"/>
  <c r="J28" i="12"/>
  <c r="J27" i="12"/>
  <c r="J26" i="12"/>
  <c r="J25" i="12"/>
  <c r="J24" i="12"/>
  <c r="J23" i="12"/>
  <c r="J22" i="12"/>
  <c r="J12" i="12"/>
  <c r="J11" i="12"/>
  <c r="J10" i="12"/>
  <c r="J9" i="12"/>
  <c r="J8" i="12"/>
  <c r="J7" i="12"/>
  <c r="J6" i="12"/>
  <c r="J5" i="12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21" i="58"/>
  <c r="J20" i="58"/>
  <c r="J19" i="58"/>
  <c r="J18" i="58"/>
  <c r="J17" i="58"/>
  <c r="J16" i="58"/>
  <c r="J15" i="58"/>
  <c r="J14" i="58"/>
  <c r="J13" i="58"/>
  <c r="J12" i="58"/>
  <c r="J11" i="58"/>
  <c r="J10" i="58"/>
  <c r="J9" i="58"/>
  <c r="J8" i="58"/>
  <c r="J7" i="58"/>
  <c r="J6" i="58"/>
  <c r="J5" i="58"/>
  <c r="J4" i="58"/>
  <c r="J21" i="6"/>
  <c r="J20" i="6"/>
  <c r="J19" i="6"/>
  <c r="J18" i="6"/>
  <c r="J17" i="6"/>
  <c r="J16" i="6"/>
  <c r="J14" i="6"/>
  <c r="J13" i="6"/>
  <c r="J12" i="6"/>
  <c r="J11" i="6"/>
  <c r="J10" i="6"/>
  <c r="J9" i="6"/>
  <c r="J8" i="6"/>
  <c r="J7" i="6"/>
  <c r="J6" i="6"/>
  <c r="J5" i="6"/>
  <c r="J4" i="6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13" i="47"/>
  <c r="F13" i="47"/>
  <c r="E13" i="47"/>
  <c r="D13" i="47"/>
  <c r="C13" i="47"/>
  <c r="H34" i="34"/>
  <c r="H33" i="34"/>
  <c r="H32" i="34"/>
  <c r="H30" i="34"/>
  <c r="H29" i="34"/>
  <c r="H28" i="34"/>
  <c r="H26" i="34"/>
  <c r="H25" i="34"/>
  <c r="H24" i="34"/>
  <c r="H22" i="34"/>
  <c r="H21" i="34"/>
  <c r="H20" i="34"/>
  <c r="H18" i="34"/>
  <c r="H17" i="34"/>
  <c r="H16" i="34"/>
  <c r="H14" i="34"/>
  <c r="H13" i="34"/>
  <c r="H12" i="34"/>
  <c r="H10" i="34"/>
  <c r="H9" i="34"/>
  <c r="H8" i="34"/>
  <c r="H6" i="34"/>
  <c r="H5" i="34"/>
  <c r="H4" i="34"/>
  <c r="I7" i="17"/>
  <c r="I6" i="17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28" i="29"/>
  <c r="I27" i="29"/>
  <c r="I26" i="29"/>
  <c r="I25" i="29"/>
  <c r="I24" i="29"/>
  <c r="I23" i="29"/>
  <c r="I22" i="29"/>
  <c r="I21" i="29"/>
  <c r="I12" i="29"/>
  <c r="I11" i="29"/>
  <c r="I10" i="29"/>
  <c r="I9" i="29"/>
  <c r="I8" i="29"/>
  <c r="I7" i="29"/>
  <c r="I6" i="29"/>
  <c r="I5" i="29"/>
  <c r="I29" i="30"/>
  <c r="I28" i="30"/>
  <c r="I27" i="30"/>
  <c r="I26" i="30"/>
  <c r="I25" i="30"/>
  <c r="I24" i="30"/>
  <c r="I23" i="30"/>
  <c r="I22" i="30"/>
  <c r="I12" i="30"/>
  <c r="I11" i="30"/>
  <c r="I10" i="30"/>
  <c r="I9" i="30"/>
  <c r="I8" i="30"/>
  <c r="I7" i="30"/>
  <c r="I6" i="30"/>
  <c r="I5" i="30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28" i="53"/>
  <c r="I27" i="53"/>
  <c r="I26" i="53"/>
  <c r="I25" i="53"/>
  <c r="I24" i="53"/>
  <c r="I23" i="53"/>
  <c r="I22" i="53"/>
  <c r="I21" i="53"/>
  <c r="I12" i="53"/>
  <c r="I11" i="53"/>
  <c r="I10" i="53"/>
  <c r="I9" i="53"/>
  <c r="I8" i="53"/>
  <c r="I7" i="53"/>
  <c r="I6" i="53"/>
  <c r="I5" i="53"/>
  <c r="I29" i="12"/>
  <c r="I28" i="12"/>
  <c r="I27" i="12"/>
  <c r="I26" i="12"/>
  <c r="I25" i="12"/>
  <c r="I24" i="12"/>
  <c r="I23" i="12"/>
  <c r="I22" i="12"/>
  <c r="I12" i="12"/>
  <c r="I11" i="12"/>
  <c r="I10" i="12"/>
  <c r="I9" i="12"/>
  <c r="I8" i="12"/>
  <c r="I7" i="12"/>
  <c r="I6" i="12"/>
  <c r="I5" i="12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" i="58"/>
  <c r="I5" i="58"/>
  <c r="I4" i="58"/>
  <c r="I21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14" i="34"/>
  <c r="G10" i="34"/>
  <c r="H7" i="17"/>
  <c r="H6" i="17"/>
  <c r="H6" i="1"/>
  <c r="H5" i="1"/>
  <c r="H4" i="1"/>
  <c r="J11" i="47"/>
  <c r="G4" i="1"/>
  <c r="J22" i="1" l="1"/>
  <c r="G13" i="47"/>
  <c r="I22" i="1"/>
  <c r="G14" i="47"/>
  <c r="J30" i="12"/>
  <c r="K13" i="47"/>
  <c r="F4" i="1"/>
  <c r="G28" i="1"/>
  <c r="I22" i="47"/>
  <c r="F22" i="47"/>
  <c r="E22" i="47"/>
  <c r="D22" i="47"/>
  <c r="C22" i="47"/>
  <c r="F13" i="17"/>
  <c r="F12" i="17"/>
  <c r="F28" i="10"/>
  <c r="F28" i="58"/>
  <c r="F28" i="6"/>
  <c r="F28" i="5"/>
  <c r="F28" i="3"/>
  <c r="F28" i="1"/>
  <c r="G22" i="47" l="1"/>
  <c r="I20" i="47"/>
  <c r="F20" i="47"/>
  <c r="E20" i="47"/>
  <c r="D20" i="47"/>
  <c r="C20" i="47"/>
  <c r="D13" i="17"/>
  <c r="D12" i="17"/>
  <c r="D28" i="10"/>
  <c r="D28" i="58"/>
  <c r="D28" i="6"/>
  <c r="D28" i="5"/>
  <c r="D28" i="4"/>
  <c r="D28" i="3"/>
  <c r="D28" i="2"/>
  <c r="D28" i="1"/>
  <c r="J9" i="47"/>
  <c r="F9" i="47"/>
  <c r="E9" i="47"/>
  <c r="D9" i="47"/>
  <c r="C9" i="47"/>
  <c r="D34" i="34"/>
  <c r="D33" i="34"/>
  <c r="D32" i="34"/>
  <c r="D30" i="34"/>
  <c r="D29" i="34"/>
  <c r="D28" i="34"/>
  <c r="D26" i="34"/>
  <c r="D25" i="34"/>
  <c r="D24" i="34"/>
  <c r="D22" i="34"/>
  <c r="D21" i="34"/>
  <c r="D20" i="34"/>
  <c r="D18" i="34"/>
  <c r="D17" i="34"/>
  <c r="D16" i="34"/>
  <c r="D14" i="34"/>
  <c r="D13" i="34"/>
  <c r="D12" i="34"/>
  <c r="D10" i="34"/>
  <c r="D9" i="34"/>
  <c r="D8" i="34"/>
  <c r="D6" i="34"/>
  <c r="D5" i="34"/>
  <c r="D4" i="34"/>
  <c r="E7" i="17"/>
  <c r="E6" i="17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8" i="29"/>
  <c r="E27" i="29"/>
  <c r="E26" i="29"/>
  <c r="E25" i="29"/>
  <c r="E24" i="29"/>
  <c r="E23" i="29"/>
  <c r="E22" i="29"/>
  <c r="E21" i="29"/>
  <c r="E12" i="29"/>
  <c r="E11" i="29"/>
  <c r="E10" i="29"/>
  <c r="E9" i="29"/>
  <c r="E8" i="29"/>
  <c r="E7" i="29"/>
  <c r="E6" i="29"/>
  <c r="E5" i="29"/>
  <c r="E29" i="30"/>
  <c r="E28" i="30"/>
  <c r="E27" i="30"/>
  <c r="E26" i="30"/>
  <c r="E25" i="30"/>
  <c r="E24" i="30"/>
  <c r="E23" i="30"/>
  <c r="E22" i="30"/>
  <c r="E12" i="30"/>
  <c r="E11" i="30"/>
  <c r="E10" i="30"/>
  <c r="E9" i="30"/>
  <c r="E8" i="30"/>
  <c r="E7" i="30"/>
  <c r="E6" i="30"/>
  <c r="E5" i="30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28" i="53"/>
  <c r="E27" i="53"/>
  <c r="E26" i="53"/>
  <c r="E25" i="53"/>
  <c r="E24" i="53"/>
  <c r="E23" i="53"/>
  <c r="E22" i="53"/>
  <c r="E21" i="53"/>
  <c r="E12" i="53"/>
  <c r="E11" i="53"/>
  <c r="E10" i="53"/>
  <c r="E9" i="53"/>
  <c r="E8" i="53"/>
  <c r="E7" i="53"/>
  <c r="E6" i="53"/>
  <c r="E5" i="53"/>
  <c r="E29" i="12"/>
  <c r="E28" i="12"/>
  <c r="E27" i="12"/>
  <c r="E26" i="12"/>
  <c r="E25" i="12"/>
  <c r="E24" i="12"/>
  <c r="E23" i="12"/>
  <c r="E22" i="12"/>
  <c r="E12" i="12"/>
  <c r="E11" i="12"/>
  <c r="E10" i="12"/>
  <c r="E9" i="12"/>
  <c r="E8" i="12"/>
  <c r="E7" i="12"/>
  <c r="E6" i="12"/>
  <c r="E5" i="12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E7" i="58"/>
  <c r="E6" i="58"/>
  <c r="E5" i="58"/>
  <c r="E4" i="58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1" i="1"/>
  <c r="E20" i="1"/>
  <c r="E19" i="1"/>
  <c r="E18" i="1"/>
  <c r="E17" i="1"/>
  <c r="E16" i="1"/>
  <c r="E15" i="1"/>
  <c r="E14" i="1"/>
  <c r="E13" i="1"/>
  <c r="E12" i="1"/>
  <c r="J8" i="47"/>
  <c r="F8" i="47"/>
  <c r="E8" i="47"/>
  <c r="D8" i="47"/>
  <c r="C8" i="47"/>
  <c r="C34" i="34"/>
  <c r="C33" i="34"/>
  <c r="C32" i="34"/>
  <c r="C30" i="34"/>
  <c r="C29" i="34"/>
  <c r="C28" i="34"/>
  <c r="C26" i="34"/>
  <c r="C25" i="34"/>
  <c r="C24" i="34"/>
  <c r="C22" i="34"/>
  <c r="C21" i="34"/>
  <c r="C20" i="34"/>
  <c r="C18" i="34"/>
  <c r="C17" i="34"/>
  <c r="C16" i="34"/>
  <c r="C14" i="34"/>
  <c r="C13" i="34"/>
  <c r="C12" i="34"/>
  <c r="C10" i="34"/>
  <c r="C9" i="34"/>
  <c r="C8" i="34"/>
  <c r="C6" i="34"/>
  <c r="C5" i="34"/>
  <c r="C4" i="34"/>
  <c r="D7" i="17"/>
  <c r="D6" i="17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8" i="29"/>
  <c r="D27" i="29"/>
  <c r="D26" i="29"/>
  <c r="D25" i="29"/>
  <c r="D24" i="29"/>
  <c r="D23" i="29"/>
  <c r="D22" i="29"/>
  <c r="D21" i="29"/>
  <c r="D12" i="29"/>
  <c r="D11" i="29"/>
  <c r="D10" i="29"/>
  <c r="D9" i="29"/>
  <c r="D8" i="29"/>
  <c r="D7" i="29"/>
  <c r="D6" i="29"/>
  <c r="D5" i="29"/>
  <c r="D29" i="30"/>
  <c r="D28" i="30"/>
  <c r="D27" i="30"/>
  <c r="D26" i="30"/>
  <c r="D25" i="30"/>
  <c r="D24" i="30"/>
  <c r="D23" i="30"/>
  <c r="D22" i="30"/>
  <c r="D12" i="30"/>
  <c r="D11" i="30"/>
  <c r="D10" i="30"/>
  <c r="D9" i="30"/>
  <c r="D8" i="30"/>
  <c r="D7" i="30"/>
  <c r="D6" i="30"/>
  <c r="D5" i="30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28" i="53"/>
  <c r="D27" i="53"/>
  <c r="D26" i="53"/>
  <c r="D25" i="53"/>
  <c r="D24" i="53"/>
  <c r="D23" i="53"/>
  <c r="D22" i="53"/>
  <c r="D21" i="53"/>
  <c r="D12" i="53"/>
  <c r="D11" i="53"/>
  <c r="D10" i="53"/>
  <c r="D9" i="53"/>
  <c r="D8" i="53"/>
  <c r="D7" i="53"/>
  <c r="D6" i="53"/>
  <c r="D5" i="53"/>
  <c r="D29" i="12"/>
  <c r="D28" i="12"/>
  <c r="D27" i="12"/>
  <c r="D26" i="12"/>
  <c r="D25" i="12"/>
  <c r="D24" i="12"/>
  <c r="D23" i="12"/>
  <c r="D22" i="12"/>
  <c r="D12" i="12"/>
  <c r="D11" i="12"/>
  <c r="D10" i="12"/>
  <c r="D9" i="12"/>
  <c r="D8" i="12"/>
  <c r="D7" i="12"/>
  <c r="D6" i="12"/>
  <c r="D5" i="12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21" i="58"/>
  <c r="D20" i="58"/>
  <c r="D19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16" i="4"/>
  <c r="D21" i="4"/>
  <c r="D20" i="4"/>
  <c r="D19" i="4"/>
  <c r="D18" i="4"/>
  <c r="D17" i="4"/>
  <c r="D15" i="4"/>
  <c r="D14" i="4"/>
  <c r="D13" i="4"/>
  <c r="D12" i="4"/>
  <c r="D11" i="4"/>
  <c r="D10" i="4"/>
  <c r="D9" i="4"/>
  <c r="D8" i="4"/>
  <c r="D7" i="4"/>
  <c r="D6" i="4"/>
  <c r="D5" i="4"/>
  <c r="D4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20" i="47" l="1"/>
  <c r="K20" i="47" s="1"/>
  <c r="G8" i="47"/>
  <c r="G9" i="47"/>
  <c r="G12" i="57"/>
  <c r="G10" i="57"/>
  <c r="G9" i="57" l="1"/>
  <c r="G11" i="57" s="1"/>
  <c r="C4" i="1" l="1"/>
  <c r="E11" i="1" l="1"/>
  <c r="E10" i="1"/>
  <c r="E9" i="1"/>
  <c r="E8" i="1"/>
  <c r="E7" i="1"/>
  <c r="E6" i="1"/>
  <c r="E5" i="1"/>
  <c r="E4" i="1"/>
  <c r="E22" i="2"/>
  <c r="F12" i="57" l="1"/>
  <c r="F10" i="57"/>
  <c r="F9" i="57"/>
  <c r="E12" i="57"/>
  <c r="E10" i="57"/>
  <c r="E9" i="57"/>
  <c r="D12" i="57"/>
  <c r="D10" i="57"/>
  <c r="D9" i="57"/>
  <c r="F11" i="57" l="1"/>
  <c r="D11" i="57"/>
  <c r="E11" i="57"/>
  <c r="K30" i="30" l="1"/>
  <c r="K13" i="30"/>
  <c r="K13" i="29"/>
  <c r="K29" i="29"/>
  <c r="K22" i="10"/>
  <c r="K29" i="53"/>
  <c r="K13" i="53"/>
  <c r="K18" i="32"/>
  <c r="K22" i="1" l="1"/>
  <c r="K13" i="12"/>
  <c r="K22" i="4"/>
  <c r="K22" i="6"/>
  <c r="K18" i="8"/>
  <c r="K22" i="3"/>
  <c r="K19" i="9"/>
  <c r="K22" i="5"/>
  <c r="K22" i="58"/>
  <c r="K30" i="12"/>
  <c r="K15" i="47" l="1"/>
  <c r="G34" i="34"/>
  <c r="G30" i="34"/>
  <c r="G26" i="34"/>
  <c r="G22" i="34"/>
  <c r="G18" i="34"/>
  <c r="J12" i="47" l="1"/>
  <c r="F12" i="47"/>
  <c r="E12" i="47"/>
  <c r="D12" i="47"/>
  <c r="C12" i="47"/>
  <c r="G33" i="34"/>
  <c r="G32" i="34"/>
  <c r="G29" i="34"/>
  <c r="G28" i="34"/>
  <c r="G25" i="34"/>
  <c r="G24" i="34"/>
  <c r="G21" i="34"/>
  <c r="G20" i="34"/>
  <c r="G17" i="34"/>
  <c r="G16" i="34"/>
  <c r="G13" i="34"/>
  <c r="G12" i="34"/>
  <c r="G9" i="34"/>
  <c r="G8" i="34"/>
  <c r="G5" i="34"/>
  <c r="G4" i="34"/>
  <c r="G12" i="47" l="1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28" i="29"/>
  <c r="H27" i="29"/>
  <c r="H26" i="29"/>
  <c r="H25" i="29"/>
  <c r="H24" i="29"/>
  <c r="H23" i="29"/>
  <c r="H22" i="29"/>
  <c r="H21" i="29"/>
  <c r="H12" i="29"/>
  <c r="H11" i="29"/>
  <c r="H10" i="29"/>
  <c r="H9" i="29"/>
  <c r="H8" i="29"/>
  <c r="H7" i="29"/>
  <c r="H6" i="29"/>
  <c r="H5" i="29"/>
  <c r="H29" i="30"/>
  <c r="H28" i="30"/>
  <c r="H27" i="30"/>
  <c r="H26" i="30"/>
  <c r="H25" i="30"/>
  <c r="H24" i="30"/>
  <c r="H23" i="30"/>
  <c r="H22" i="30"/>
  <c r="H12" i="30"/>
  <c r="H11" i="30"/>
  <c r="H10" i="30"/>
  <c r="H9" i="30"/>
  <c r="H8" i="30"/>
  <c r="H7" i="30"/>
  <c r="H6" i="30"/>
  <c r="H5" i="30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28" i="53"/>
  <c r="H27" i="53"/>
  <c r="H26" i="53"/>
  <c r="H25" i="53"/>
  <c r="H24" i="53"/>
  <c r="H23" i="53"/>
  <c r="H22" i="53"/>
  <c r="H21" i="53"/>
  <c r="H12" i="53"/>
  <c r="H11" i="53"/>
  <c r="H10" i="53"/>
  <c r="H9" i="53"/>
  <c r="H8" i="53"/>
  <c r="H7" i="53"/>
  <c r="H6" i="53"/>
  <c r="H5" i="53"/>
  <c r="H29" i="12"/>
  <c r="H28" i="12"/>
  <c r="H27" i="12"/>
  <c r="H26" i="12"/>
  <c r="H25" i="12"/>
  <c r="H24" i="12"/>
  <c r="H23" i="12"/>
  <c r="H22" i="12"/>
  <c r="H12" i="12"/>
  <c r="H11" i="12"/>
  <c r="H10" i="12"/>
  <c r="H9" i="12"/>
  <c r="H8" i="12"/>
  <c r="H7" i="12"/>
  <c r="H6" i="12"/>
  <c r="H5" i="12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C28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22" i="1" l="1"/>
  <c r="G28" i="58"/>
  <c r="C28" i="58" l="1"/>
  <c r="I28" i="58" l="1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G4" i="58"/>
  <c r="F30" i="58" l="1"/>
  <c r="M28" i="58"/>
  <c r="H30" i="58"/>
  <c r="I30" i="58"/>
  <c r="E30" i="58"/>
  <c r="D30" i="58"/>
  <c r="G30" i="58"/>
  <c r="C30" i="58"/>
  <c r="F21" i="58"/>
  <c r="F20" i="58"/>
  <c r="F19" i="58"/>
  <c r="F18" i="58"/>
  <c r="F17" i="58"/>
  <c r="F16" i="58"/>
  <c r="F15" i="58"/>
  <c r="F14" i="58"/>
  <c r="F12" i="58"/>
  <c r="F13" i="58"/>
  <c r="F11" i="58"/>
  <c r="F10" i="58"/>
  <c r="F9" i="58"/>
  <c r="F8" i="58"/>
  <c r="F7" i="58"/>
  <c r="F6" i="58"/>
  <c r="F5" i="58"/>
  <c r="F4" i="58"/>
  <c r="E22" i="58"/>
  <c r="D22" i="58"/>
  <c r="C21" i="58"/>
  <c r="N21" i="58" s="1"/>
  <c r="C20" i="58"/>
  <c r="N20" i="58" s="1"/>
  <c r="C19" i="58"/>
  <c r="N19" i="58" s="1"/>
  <c r="C18" i="58"/>
  <c r="C17" i="58"/>
  <c r="N17" i="58" s="1"/>
  <c r="C16" i="58"/>
  <c r="N16" i="58" s="1"/>
  <c r="C15" i="58"/>
  <c r="N15" i="58" s="1"/>
  <c r="C14" i="58"/>
  <c r="C13" i="58"/>
  <c r="C12" i="58"/>
  <c r="N12" i="58" s="1"/>
  <c r="C11" i="58"/>
  <c r="N11" i="58" s="1"/>
  <c r="C10" i="58"/>
  <c r="C9" i="58"/>
  <c r="N9" i="58" s="1"/>
  <c r="C8" i="58"/>
  <c r="N8" i="58" s="1"/>
  <c r="C7" i="58"/>
  <c r="N7" i="58" s="1"/>
  <c r="C6" i="58"/>
  <c r="C5" i="58"/>
  <c r="N5" i="58" s="1"/>
  <c r="C4" i="58"/>
  <c r="N4" i="58" s="1"/>
  <c r="J22" i="58"/>
  <c r="N13" i="58" l="1"/>
  <c r="N18" i="58"/>
  <c r="N6" i="58"/>
  <c r="N10" i="58"/>
  <c r="N14" i="58"/>
  <c r="I22" i="58"/>
  <c r="H22" i="58"/>
  <c r="L22" i="58"/>
  <c r="G22" i="58"/>
  <c r="F22" i="58"/>
  <c r="C22" i="58"/>
  <c r="N22" i="58" l="1"/>
  <c r="F11" i="47"/>
  <c r="E11" i="47"/>
  <c r="D11" i="47"/>
  <c r="C11" i="47"/>
  <c r="F34" i="34"/>
  <c r="F33" i="34"/>
  <c r="F32" i="34"/>
  <c r="F30" i="34"/>
  <c r="F29" i="34"/>
  <c r="F28" i="34"/>
  <c r="F26" i="34"/>
  <c r="F25" i="34"/>
  <c r="F24" i="34"/>
  <c r="F22" i="34"/>
  <c r="F21" i="34"/>
  <c r="F20" i="34"/>
  <c r="F18" i="34"/>
  <c r="F17" i="34"/>
  <c r="F16" i="34"/>
  <c r="F14" i="34"/>
  <c r="F13" i="34"/>
  <c r="F12" i="34"/>
  <c r="F10" i="34"/>
  <c r="F9" i="34"/>
  <c r="F8" i="34"/>
  <c r="F6" i="34"/>
  <c r="F5" i="34"/>
  <c r="F4" i="34"/>
  <c r="G7" i="17"/>
  <c r="G6" i="17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28" i="29"/>
  <c r="G27" i="29"/>
  <c r="G26" i="29"/>
  <c r="G25" i="29"/>
  <c r="G24" i="29"/>
  <c r="G23" i="29"/>
  <c r="G22" i="29"/>
  <c r="G21" i="29"/>
  <c r="G12" i="29"/>
  <c r="G11" i="29"/>
  <c r="G10" i="29"/>
  <c r="G9" i="29"/>
  <c r="G8" i="29"/>
  <c r="G7" i="29"/>
  <c r="G6" i="29"/>
  <c r="G5" i="29"/>
  <c r="G29" i="30"/>
  <c r="G28" i="30"/>
  <c r="G27" i="30"/>
  <c r="G26" i="30"/>
  <c r="G25" i="30"/>
  <c r="G24" i="30"/>
  <c r="G23" i="30"/>
  <c r="G22" i="30"/>
  <c r="G12" i="30"/>
  <c r="G11" i="30"/>
  <c r="G10" i="30"/>
  <c r="G9" i="30"/>
  <c r="G8" i="30"/>
  <c r="G7" i="30"/>
  <c r="G6" i="30"/>
  <c r="G5" i="30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28" i="53"/>
  <c r="G27" i="53"/>
  <c r="G26" i="53"/>
  <c r="G25" i="53"/>
  <c r="G24" i="53"/>
  <c r="G23" i="53"/>
  <c r="G22" i="53"/>
  <c r="G21" i="53"/>
  <c r="G12" i="53"/>
  <c r="G11" i="53"/>
  <c r="G10" i="53"/>
  <c r="G9" i="53"/>
  <c r="G8" i="53"/>
  <c r="G7" i="53"/>
  <c r="G6" i="53"/>
  <c r="G5" i="53"/>
  <c r="G29" i="12"/>
  <c r="G28" i="12"/>
  <c r="G27" i="12"/>
  <c r="G26" i="12"/>
  <c r="G25" i="12"/>
  <c r="G24" i="12"/>
  <c r="G23" i="12"/>
  <c r="G22" i="12"/>
  <c r="G12" i="12"/>
  <c r="G11" i="12"/>
  <c r="G10" i="12"/>
  <c r="G9" i="12"/>
  <c r="G8" i="12"/>
  <c r="G7" i="12"/>
  <c r="G6" i="12"/>
  <c r="G5" i="12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17" i="8"/>
  <c r="G16" i="8"/>
  <c r="G15" i="8"/>
  <c r="G14" i="8"/>
  <c r="G13" i="8"/>
  <c r="G12" i="8"/>
  <c r="G11" i="8"/>
  <c r="G10" i="8"/>
  <c r="G9" i="8"/>
  <c r="G8" i="8"/>
  <c r="G7" i="8"/>
  <c r="G6" i="8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6" i="1"/>
  <c r="G5" i="1"/>
  <c r="G22" i="1" l="1"/>
  <c r="J24" i="58"/>
  <c r="M24" i="58"/>
  <c r="I24" i="58"/>
  <c r="D24" i="58"/>
  <c r="C24" i="58"/>
  <c r="E24" i="58"/>
  <c r="G24" i="58"/>
  <c r="F24" i="58"/>
  <c r="H24" i="58"/>
  <c r="K24" i="58"/>
  <c r="L24" i="58"/>
  <c r="M27" i="58"/>
  <c r="M29" i="58" s="1"/>
  <c r="N29" i="58" s="1"/>
  <c r="G11" i="47"/>
  <c r="N24" i="58" l="1"/>
  <c r="N27" i="58"/>
  <c r="N28" i="58"/>
  <c r="E22" i="1" l="1"/>
  <c r="E22" i="5"/>
  <c r="I22" i="4" l="1"/>
  <c r="I22" i="6"/>
  <c r="I22" i="3"/>
  <c r="I22" i="5"/>
  <c r="H22" i="3" l="1"/>
  <c r="H30" i="12"/>
  <c r="K16" i="47" l="1"/>
  <c r="N4" i="1" l="1"/>
  <c r="J10" i="47"/>
  <c r="F10" i="47"/>
  <c r="E10" i="47"/>
  <c r="D10" i="47"/>
  <c r="C10" i="47"/>
  <c r="E34" i="34"/>
  <c r="E33" i="34"/>
  <c r="E32" i="34"/>
  <c r="E30" i="34"/>
  <c r="E29" i="34"/>
  <c r="E28" i="34"/>
  <c r="E26" i="34"/>
  <c r="E25" i="34"/>
  <c r="E24" i="34"/>
  <c r="E22" i="34"/>
  <c r="E21" i="34"/>
  <c r="E20" i="34"/>
  <c r="E18" i="34"/>
  <c r="E17" i="34"/>
  <c r="E16" i="34"/>
  <c r="E14" i="34"/>
  <c r="E13" i="34"/>
  <c r="E12" i="34"/>
  <c r="E10" i="34"/>
  <c r="E9" i="34"/>
  <c r="E8" i="34"/>
  <c r="E6" i="34"/>
  <c r="E5" i="34"/>
  <c r="E4" i="34"/>
  <c r="F7" i="17"/>
  <c r="F6" i="17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N7" i="10" s="1"/>
  <c r="F6" i="10"/>
  <c r="F5" i="10"/>
  <c r="F4" i="10"/>
  <c r="F28" i="29"/>
  <c r="F27" i="29"/>
  <c r="F26" i="29"/>
  <c r="F25" i="29"/>
  <c r="F24" i="29"/>
  <c r="F23" i="29"/>
  <c r="F22" i="29"/>
  <c r="F21" i="29"/>
  <c r="F12" i="29"/>
  <c r="F11" i="29"/>
  <c r="F10" i="29"/>
  <c r="F9" i="29"/>
  <c r="F8" i="29"/>
  <c r="F7" i="29"/>
  <c r="F6" i="29"/>
  <c r="F5" i="29"/>
  <c r="F29" i="30"/>
  <c r="F28" i="30"/>
  <c r="F27" i="30"/>
  <c r="F26" i="30"/>
  <c r="F25" i="30"/>
  <c r="F24" i="30"/>
  <c r="F23" i="30"/>
  <c r="F22" i="30"/>
  <c r="F12" i="30"/>
  <c r="F11" i="30"/>
  <c r="F10" i="30"/>
  <c r="F9" i="30"/>
  <c r="F8" i="30"/>
  <c r="F7" i="30"/>
  <c r="F6" i="30"/>
  <c r="F5" i="30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28" i="53"/>
  <c r="F27" i="53"/>
  <c r="F26" i="53"/>
  <c r="F25" i="53"/>
  <c r="F24" i="53"/>
  <c r="F23" i="53"/>
  <c r="F22" i="53"/>
  <c r="F21" i="53"/>
  <c r="F12" i="53"/>
  <c r="F11" i="53"/>
  <c r="F10" i="53"/>
  <c r="F9" i="53"/>
  <c r="F8" i="53"/>
  <c r="F7" i="53"/>
  <c r="F6" i="53"/>
  <c r="F5" i="53"/>
  <c r="F29" i="12"/>
  <c r="F28" i="12"/>
  <c r="F27" i="12"/>
  <c r="F26" i="12"/>
  <c r="F25" i="12"/>
  <c r="F24" i="12"/>
  <c r="F23" i="12"/>
  <c r="F22" i="12"/>
  <c r="F12" i="12"/>
  <c r="F11" i="12"/>
  <c r="F10" i="12"/>
  <c r="F9" i="12"/>
  <c r="F8" i="12"/>
  <c r="F7" i="12"/>
  <c r="F6" i="12"/>
  <c r="F5" i="12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0" i="30" l="1"/>
  <c r="F22" i="1"/>
  <c r="F22" i="3"/>
  <c r="G10" i="47"/>
  <c r="K8" i="47" l="1"/>
  <c r="J7" i="47"/>
  <c r="J6" i="47" s="1"/>
  <c r="F7" i="47"/>
  <c r="F6" i="47" s="1"/>
  <c r="E7" i="47"/>
  <c r="E6" i="47" s="1"/>
  <c r="D7" i="47"/>
  <c r="D6" i="47" s="1"/>
  <c r="C7" i="47"/>
  <c r="C6" i="47" s="1"/>
  <c r="B34" i="34"/>
  <c r="M34" i="34" s="1"/>
  <c r="B33" i="34"/>
  <c r="M33" i="34" s="1"/>
  <c r="B32" i="34"/>
  <c r="M32" i="34" s="1"/>
  <c r="B30" i="34"/>
  <c r="M30" i="34" s="1"/>
  <c r="B29" i="34"/>
  <c r="M29" i="34" s="1"/>
  <c r="B28" i="34"/>
  <c r="M28" i="34" s="1"/>
  <c r="B26" i="34"/>
  <c r="M26" i="34" s="1"/>
  <c r="B25" i="34"/>
  <c r="M25" i="34" s="1"/>
  <c r="B24" i="34"/>
  <c r="M24" i="34" s="1"/>
  <c r="B22" i="34"/>
  <c r="M22" i="34" s="1"/>
  <c r="B21" i="34"/>
  <c r="M21" i="34" s="1"/>
  <c r="B20" i="34"/>
  <c r="M20" i="34" s="1"/>
  <c r="B18" i="34"/>
  <c r="M18" i="34" s="1"/>
  <c r="B17" i="34"/>
  <c r="M17" i="34" s="1"/>
  <c r="B16" i="34"/>
  <c r="M16" i="34" s="1"/>
  <c r="B14" i="34"/>
  <c r="M14" i="34" s="1"/>
  <c r="B13" i="34"/>
  <c r="M13" i="34" s="1"/>
  <c r="B12" i="34"/>
  <c r="M12" i="34" s="1"/>
  <c r="B10" i="34"/>
  <c r="M10" i="34" s="1"/>
  <c r="B9" i="34"/>
  <c r="M9" i="34" s="1"/>
  <c r="B8" i="34"/>
  <c r="M8" i="34" s="1"/>
  <c r="B6" i="34"/>
  <c r="M6" i="34" s="1"/>
  <c r="B5" i="34"/>
  <c r="M5" i="34" s="1"/>
  <c r="B4" i="34"/>
  <c r="M4" i="34" s="1"/>
  <c r="C7" i="17"/>
  <c r="N7" i="17" s="1"/>
  <c r="C6" i="17"/>
  <c r="N6" i="17" s="1"/>
  <c r="C21" i="10"/>
  <c r="N21" i="10" s="1"/>
  <c r="C20" i="10"/>
  <c r="N20" i="10" s="1"/>
  <c r="C19" i="10"/>
  <c r="N19" i="10" s="1"/>
  <c r="C18" i="10"/>
  <c r="N18" i="10" s="1"/>
  <c r="C17" i="10"/>
  <c r="N17" i="10" s="1"/>
  <c r="C16" i="10"/>
  <c r="N16" i="10" s="1"/>
  <c r="C15" i="10"/>
  <c r="N15" i="10" s="1"/>
  <c r="C14" i="10"/>
  <c r="N14" i="10" s="1"/>
  <c r="C13" i="10"/>
  <c r="N13" i="10" s="1"/>
  <c r="C12" i="10"/>
  <c r="N12" i="10" s="1"/>
  <c r="C11" i="10"/>
  <c r="N11" i="10" s="1"/>
  <c r="C10" i="10"/>
  <c r="N10" i="10" s="1"/>
  <c r="C9" i="10"/>
  <c r="N9" i="10" s="1"/>
  <c r="C8" i="10"/>
  <c r="N8" i="10" s="1"/>
  <c r="C6" i="10"/>
  <c r="N6" i="10" s="1"/>
  <c r="C5" i="10"/>
  <c r="N5" i="10" s="1"/>
  <c r="C4" i="10"/>
  <c r="N4" i="10" s="1"/>
  <c r="C28" i="29"/>
  <c r="N28" i="29" s="1"/>
  <c r="C27" i="29"/>
  <c r="N27" i="29" s="1"/>
  <c r="C26" i="29"/>
  <c r="N26" i="29" s="1"/>
  <c r="C25" i="29"/>
  <c r="N25" i="29" s="1"/>
  <c r="C24" i="29"/>
  <c r="N24" i="29" s="1"/>
  <c r="C23" i="29"/>
  <c r="N23" i="29" s="1"/>
  <c r="C22" i="29"/>
  <c r="N22" i="29" s="1"/>
  <c r="C21" i="29"/>
  <c r="N21" i="29" s="1"/>
  <c r="C12" i="29"/>
  <c r="N12" i="29" s="1"/>
  <c r="C11" i="29"/>
  <c r="N11" i="29" s="1"/>
  <c r="C10" i="29"/>
  <c r="N10" i="29" s="1"/>
  <c r="C9" i="29"/>
  <c r="N9" i="29" s="1"/>
  <c r="C8" i="29"/>
  <c r="N8" i="29" s="1"/>
  <c r="C7" i="29"/>
  <c r="N7" i="29" s="1"/>
  <c r="C6" i="29"/>
  <c r="N6" i="29" s="1"/>
  <c r="C5" i="29"/>
  <c r="N5" i="29" s="1"/>
  <c r="C29" i="30"/>
  <c r="N29" i="30" s="1"/>
  <c r="C28" i="30"/>
  <c r="N28" i="30" s="1"/>
  <c r="C27" i="30"/>
  <c r="N27" i="30" s="1"/>
  <c r="C26" i="30"/>
  <c r="N26" i="30" s="1"/>
  <c r="C25" i="30"/>
  <c r="N25" i="30" s="1"/>
  <c r="C24" i="30"/>
  <c r="N24" i="30" s="1"/>
  <c r="C23" i="30"/>
  <c r="N23" i="30" s="1"/>
  <c r="C22" i="30"/>
  <c r="N22" i="30" s="1"/>
  <c r="C12" i="30"/>
  <c r="N12" i="30" s="1"/>
  <c r="C11" i="30"/>
  <c r="N11" i="30" s="1"/>
  <c r="C10" i="30"/>
  <c r="N10" i="30" s="1"/>
  <c r="C9" i="30"/>
  <c r="N9" i="30" s="1"/>
  <c r="C8" i="30"/>
  <c r="N8" i="30" s="1"/>
  <c r="C7" i="30"/>
  <c r="N7" i="30" s="1"/>
  <c r="C6" i="30"/>
  <c r="N6" i="30" s="1"/>
  <c r="C5" i="30"/>
  <c r="N5" i="30" s="1"/>
  <c r="C17" i="31"/>
  <c r="N17" i="31" s="1"/>
  <c r="C16" i="31"/>
  <c r="N16" i="31" s="1"/>
  <c r="C15" i="31"/>
  <c r="N15" i="31" s="1"/>
  <c r="C14" i="31"/>
  <c r="N14" i="31" s="1"/>
  <c r="C13" i="31"/>
  <c r="N13" i="31" s="1"/>
  <c r="C12" i="31"/>
  <c r="N12" i="31" s="1"/>
  <c r="C11" i="31"/>
  <c r="N11" i="31" s="1"/>
  <c r="C10" i="31"/>
  <c r="N10" i="31" s="1"/>
  <c r="C9" i="31"/>
  <c r="N9" i="31" s="1"/>
  <c r="C8" i="31"/>
  <c r="N8" i="31" s="1"/>
  <c r="C7" i="31"/>
  <c r="N7" i="31" s="1"/>
  <c r="C6" i="31"/>
  <c r="N6" i="31" s="1"/>
  <c r="C5" i="31"/>
  <c r="N5" i="31" s="1"/>
  <c r="C17" i="32"/>
  <c r="N17" i="32" s="1"/>
  <c r="C16" i="32"/>
  <c r="N16" i="32" s="1"/>
  <c r="C15" i="32"/>
  <c r="N15" i="32" s="1"/>
  <c r="C14" i="32"/>
  <c r="N14" i="32" s="1"/>
  <c r="C13" i="32"/>
  <c r="N13" i="32" s="1"/>
  <c r="C12" i="32"/>
  <c r="N12" i="32" s="1"/>
  <c r="C11" i="32"/>
  <c r="N11" i="32" s="1"/>
  <c r="C10" i="32"/>
  <c r="N10" i="32" s="1"/>
  <c r="C9" i="32"/>
  <c r="N9" i="32" s="1"/>
  <c r="C8" i="32"/>
  <c r="N8" i="32" s="1"/>
  <c r="C7" i="32"/>
  <c r="N7" i="32" s="1"/>
  <c r="C6" i="32"/>
  <c r="N6" i="32" s="1"/>
  <c r="C5" i="32"/>
  <c r="N5" i="32" s="1"/>
  <c r="C28" i="53"/>
  <c r="N28" i="53" s="1"/>
  <c r="C27" i="53"/>
  <c r="N27" i="53" s="1"/>
  <c r="C26" i="53"/>
  <c r="N26" i="53" s="1"/>
  <c r="C25" i="53"/>
  <c r="N25" i="53" s="1"/>
  <c r="C24" i="53"/>
  <c r="N24" i="53" s="1"/>
  <c r="C23" i="53"/>
  <c r="N23" i="53" s="1"/>
  <c r="C22" i="53"/>
  <c r="N22" i="53" s="1"/>
  <c r="C21" i="53"/>
  <c r="N21" i="53" s="1"/>
  <c r="C12" i="53"/>
  <c r="N12" i="53" s="1"/>
  <c r="C11" i="53"/>
  <c r="N11" i="53" s="1"/>
  <c r="C10" i="53"/>
  <c r="N10" i="53" s="1"/>
  <c r="C9" i="53"/>
  <c r="N9" i="53" s="1"/>
  <c r="C8" i="53"/>
  <c r="N8" i="53" s="1"/>
  <c r="C7" i="53"/>
  <c r="N7" i="53" s="1"/>
  <c r="C6" i="53"/>
  <c r="N6" i="53" s="1"/>
  <c r="C5" i="53"/>
  <c r="N5" i="53" s="1"/>
  <c r="C29" i="12"/>
  <c r="N29" i="12" s="1"/>
  <c r="C28" i="12"/>
  <c r="N28" i="12" s="1"/>
  <c r="C27" i="12"/>
  <c r="N27" i="12" s="1"/>
  <c r="C26" i="12"/>
  <c r="N26" i="12" s="1"/>
  <c r="C25" i="12"/>
  <c r="N25" i="12" s="1"/>
  <c r="C24" i="12"/>
  <c r="N24" i="12" s="1"/>
  <c r="C23" i="12"/>
  <c r="N23" i="12" s="1"/>
  <c r="C22" i="12"/>
  <c r="N22" i="12" s="1"/>
  <c r="C12" i="12"/>
  <c r="N12" i="12" s="1"/>
  <c r="C11" i="12"/>
  <c r="N11" i="12" s="1"/>
  <c r="C10" i="12"/>
  <c r="N10" i="12" s="1"/>
  <c r="C9" i="12"/>
  <c r="N9" i="12" s="1"/>
  <c r="C8" i="12"/>
  <c r="N8" i="12" s="1"/>
  <c r="C7" i="12"/>
  <c r="N7" i="12" s="1"/>
  <c r="C6" i="12"/>
  <c r="N6" i="12" s="1"/>
  <c r="C5" i="12"/>
  <c r="N5" i="12" s="1"/>
  <c r="C18" i="9"/>
  <c r="N18" i="9" s="1"/>
  <c r="C17" i="9"/>
  <c r="N17" i="9" s="1"/>
  <c r="C16" i="9"/>
  <c r="N16" i="9" s="1"/>
  <c r="C15" i="9"/>
  <c r="N15" i="9" s="1"/>
  <c r="C14" i="9"/>
  <c r="N14" i="9" s="1"/>
  <c r="C13" i="9"/>
  <c r="N13" i="9" s="1"/>
  <c r="C12" i="9"/>
  <c r="N12" i="9" s="1"/>
  <c r="C11" i="9"/>
  <c r="N11" i="9" s="1"/>
  <c r="C10" i="9"/>
  <c r="N10" i="9" s="1"/>
  <c r="C9" i="9"/>
  <c r="N9" i="9" s="1"/>
  <c r="C8" i="9"/>
  <c r="N8" i="9" s="1"/>
  <c r="C7" i="9"/>
  <c r="N7" i="9" s="1"/>
  <c r="C6" i="9"/>
  <c r="N6" i="9" s="1"/>
  <c r="C17" i="8"/>
  <c r="N17" i="8" s="1"/>
  <c r="C16" i="8"/>
  <c r="N16" i="8" s="1"/>
  <c r="C15" i="8"/>
  <c r="N15" i="8" s="1"/>
  <c r="C14" i="8"/>
  <c r="N14" i="8" s="1"/>
  <c r="C13" i="8"/>
  <c r="N13" i="8" s="1"/>
  <c r="C12" i="8"/>
  <c r="N12" i="8" s="1"/>
  <c r="C11" i="8"/>
  <c r="N11" i="8" s="1"/>
  <c r="C10" i="8"/>
  <c r="N10" i="8" s="1"/>
  <c r="C9" i="8"/>
  <c r="N9" i="8" s="1"/>
  <c r="C8" i="8"/>
  <c r="N8" i="8" s="1"/>
  <c r="C7" i="8"/>
  <c r="N7" i="8" s="1"/>
  <c r="C6" i="8"/>
  <c r="N6" i="8" s="1"/>
  <c r="C5" i="8"/>
  <c r="N5" i="8" s="1"/>
  <c r="C21" i="6"/>
  <c r="N21" i="6" s="1"/>
  <c r="C20" i="6"/>
  <c r="N20" i="6" s="1"/>
  <c r="C19" i="6"/>
  <c r="N19" i="6" s="1"/>
  <c r="C18" i="6"/>
  <c r="N18" i="6" s="1"/>
  <c r="C17" i="6"/>
  <c r="N17" i="6" s="1"/>
  <c r="C16" i="6"/>
  <c r="N16" i="6" s="1"/>
  <c r="C15" i="6"/>
  <c r="N15" i="6" s="1"/>
  <c r="C14" i="6"/>
  <c r="N14" i="6" s="1"/>
  <c r="C13" i="6"/>
  <c r="N13" i="6" s="1"/>
  <c r="C12" i="6"/>
  <c r="N12" i="6" s="1"/>
  <c r="C11" i="6"/>
  <c r="N11" i="6" s="1"/>
  <c r="C10" i="6"/>
  <c r="N10" i="6" s="1"/>
  <c r="C9" i="6"/>
  <c r="N9" i="6" s="1"/>
  <c r="C8" i="6"/>
  <c r="N8" i="6" s="1"/>
  <c r="C7" i="6"/>
  <c r="N7" i="6" s="1"/>
  <c r="C6" i="6"/>
  <c r="N6" i="6" s="1"/>
  <c r="C5" i="6"/>
  <c r="N5" i="6" s="1"/>
  <c r="C4" i="6"/>
  <c r="N4" i="6" s="1"/>
  <c r="C21" i="5"/>
  <c r="N21" i="5" s="1"/>
  <c r="C20" i="5"/>
  <c r="N20" i="5" s="1"/>
  <c r="C19" i="5"/>
  <c r="N19" i="5" s="1"/>
  <c r="C18" i="5"/>
  <c r="N18" i="5" s="1"/>
  <c r="C17" i="5"/>
  <c r="N17" i="5" s="1"/>
  <c r="C16" i="5"/>
  <c r="N16" i="5" s="1"/>
  <c r="C15" i="5"/>
  <c r="N15" i="5" s="1"/>
  <c r="C14" i="5"/>
  <c r="N14" i="5" s="1"/>
  <c r="C13" i="5"/>
  <c r="N13" i="5" s="1"/>
  <c r="C12" i="5"/>
  <c r="N12" i="5" s="1"/>
  <c r="C11" i="5"/>
  <c r="N11" i="5" s="1"/>
  <c r="C10" i="5"/>
  <c r="N10" i="5" s="1"/>
  <c r="C9" i="5"/>
  <c r="N9" i="5" s="1"/>
  <c r="C8" i="5"/>
  <c r="N8" i="5" s="1"/>
  <c r="C7" i="5"/>
  <c r="N7" i="5" s="1"/>
  <c r="C6" i="5"/>
  <c r="N6" i="5" s="1"/>
  <c r="C5" i="5"/>
  <c r="N5" i="5" s="1"/>
  <c r="C4" i="5"/>
  <c r="N4" i="5" s="1"/>
  <c r="C21" i="4"/>
  <c r="N21" i="4" s="1"/>
  <c r="C20" i="4"/>
  <c r="N20" i="4" s="1"/>
  <c r="C19" i="4"/>
  <c r="N19" i="4" s="1"/>
  <c r="C18" i="4"/>
  <c r="N18" i="4" s="1"/>
  <c r="C17" i="4"/>
  <c r="N17" i="4" s="1"/>
  <c r="C16" i="4"/>
  <c r="N16" i="4" s="1"/>
  <c r="C15" i="4"/>
  <c r="N15" i="4" s="1"/>
  <c r="C14" i="4"/>
  <c r="N14" i="4" s="1"/>
  <c r="C13" i="4"/>
  <c r="N13" i="4" s="1"/>
  <c r="C12" i="4"/>
  <c r="N12" i="4" s="1"/>
  <c r="C11" i="4"/>
  <c r="N11" i="4" s="1"/>
  <c r="C10" i="4"/>
  <c r="N10" i="4" s="1"/>
  <c r="C9" i="4"/>
  <c r="N9" i="4" s="1"/>
  <c r="C8" i="4"/>
  <c r="N8" i="4" s="1"/>
  <c r="C7" i="4"/>
  <c r="N7" i="4" s="1"/>
  <c r="C6" i="4"/>
  <c r="N6" i="4" s="1"/>
  <c r="C5" i="4"/>
  <c r="N5" i="4" s="1"/>
  <c r="C4" i="4"/>
  <c r="N4" i="4" s="1"/>
  <c r="C21" i="3"/>
  <c r="N21" i="3" s="1"/>
  <c r="C20" i="3"/>
  <c r="N20" i="3" s="1"/>
  <c r="C19" i="3"/>
  <c r="N19" i="3" s="1"/>
  <c r="C18" i="3"/>
  <c r="N18" i="3" s="1"/>
  <c r="C17" i="3"/>
  <c r="N17" i="3" s="1"/>
  <c r="C16" i="3"/>
  <c r="N16" i="3" s="1"/>
  <c r="C15" i="3"/>
  <c r="N15" i="3" s="1"/>
  <c r="C14" i="3"/>
  <c r="N14" i="3" s="1"/>
  <c r="C13" i="3"/>
  <c r="N13" i="3" s="1"/>
  <c r="C12" i="3"/>
  <c r="N12" i="3" s="1"/>
  <c r="C11" i="3"/>
  <c r="N11" i="3" s="1"/>
  <c r="C10" i="3"/>
  <c r="N10" i="3" s="1"/>
  <c r="C9" i="3"/>
  <c r="N9" i="3" s="1"/>
  <c r="C8" i="3"/>
  <c r="N8" i="3" s="1"/>
  <c r="C7" i="3"/>
  <c r="N7" i="3" s="1"/>
  <c r="C6" i="3"/>
  <c r="N6" i="3" s="1"/>
  <c r="C5" i="3"/>
  <c r="N5" i="3" s="1"/>
  <c r="C4" i="3"/>
  <c r="N4" i="3" s="1"/>
  <c r="C22" i="2"/>
  <c r="N22" i="2" s="1"/>
  <c r="M24" i="2" s="1"/>
  <c r="C21" i="2"/>
  <c r="N21" i="2" s="1"/>
  <c r="C20" i="2"/>
  <c r="N20" i="2" s="1"/>
  <c r="C19" i="2"/>
  <c r="N19" i="2" s="1"/>
  <c r="C18" i="2"/>
  <c r="N18" i="2" s="1"/>
  <c r="C17" i="2"/>
  <c r="N17" i="2" s="1"/>
  <c r="C16" i="2"/>
  <c r="N16" i="2" s="1"/>
  <c r="C15" i="2"/>
  <c r="N15" i="2" s="1"/>
  <c r="C14" i="2"/>
  <c r="N14" i="2" s="1"/>
  <c r="C13" i="2"/>
  <c r="N13" i="2" s="1"/>
  <c r="C12" i="2"/>
  <c r="N12" i="2" s="1"/>
  <c r="C11" i="2"/>
  <c r="N11" i="2" s="1"/>
  <c r="C10" i="2"/>
  <c r="N10" i="2" s="1"/>
  <c r="C9" i="2"/>
  <c r="N9" i="2" s="1"/>
  <c r="C8" i="2"/>
  <c r="N8" i="2" s="1"/>
  <c r="C7" i="2"/>
  <c r="N7" i="2" s="1"/>
  <c r="C6" i="2"/>
  <c r="N6" i="2" s="1"/>
  <c r="C5" i="2"/>
  <c r="N5" i="2" s="1"/>
  <c r="C4" i="2"/>
  <c r="N4" i="2" s="1"/>
  <c r="C21" i="1"/>
  <c r="N21" i="1" s="1"/>
  <c r="C20" i="1"/>
  <c r="N20" i="1" s="1"/>
  <c r="C19" i="1"/>
  <c r="N19" i="1" s="1"/>
  <c r="C18" i="1"/>
  <c r="N18" i="1" s="1"/>
  <c r="C17" i="1"/>
  <c r="N17" i="1" s="1"/>
  <c r="C16" i="1"/>
  <c r="N16" i="1" s="1"/>
  <c r="C15" i="1"/>
  <c r="N15" i="1" s="1"/>
  <c r="C14" i="1"/>
  <c r="N14" i="1" s="1"/>
  <c r="C13" i="1"/>
  <c r="N13" i="1" s="1"/>
  <c r="C12" i="1"/>
  <c r="N12" i="1" s="1"/>
  <c r="C11" i="1"/>
  <c r="N11" i="1" s="1"/>
  <c r="C10" i="1"/>
  <c r="N10" i="1" s="1"/>
  <c r="C9" i="1"/>
  <c r="N9" i="1" s="1"/>
  <c r="C8" i="1"/>
  <c r="N8" i="1" s="1"/>
  <c r="C7" i="1"/>
  <c r="N7" i="1" s="1"/>
  <c r="C6" i="1"/>
  <c r="N6" i="1" s="1"/>
  <c r="C5" i="1"/>
  <c r="N5" i="1" s="1"/>
  <c r="C22" i="6" l="1"/>
  <c r="D18" i="8"/>
  <c r="G7" i="47"/>
  <c r="I19" i="47"/>
  <c r="F19" i="47"/>
  <c r="E19" i="47"/>
  <c r="D19" i="47"/>
  <c r="C19" i="47"/>
  <c r="C18" i="47" s="1"/>
  <c r="C13" i="17"/>
  <c r="C12" i="17"/>
  <c r="C28" i="10"/>
  <c r="C28" i="5"/>
  <c r="C28" i="4"/>
  <c r="C28" i="3"/>
  <c r="C28" i="2"/>
  <c r="C28" i="1"/>
  <c r="I28" i="1" s="1"/>
  <c r="K7" i="47" l="1"/>
  <c r="G6" i="47"/>
  <c r="C30" i="1"/>
  <c r="M28" i="1"/>
  <c r="H30" i="1"/>
  <c r="I30" i="1"/>
  <c r="E30" i="1"/>
  <c r="G30" i="1"/>
  <c r="F30" i="1"/>
  <c r="D30" i="1"/>
  <c r="G19" i="47"/>
  <c r="I23" i="47"/>
  <c r="I18" i="47" s="1"/>
  <c r="E23" i="47"/>
  <c r="E18" i="47" s="1"/>
  <c r="F23" i="47"/>
  <c r="F18" i="47" s="1"/>
  <c r="D23" i="47"/>
  <c r="D18" i="47" s="1"/>
  <c r="G13" i="17"/>
  <c r="I13" i="17" s="1"/>
  <c r="N13" i="17" s="1"/>
  <c r="G12" i="17"/>
  <c r="I12" i="17" s="1"/>
  <c r="N12" i="17" s="1"/>
  <c r="G28" i="10"/>
  <c r="G28" i="6"/>
  <c r="G28" i="5"/>
  <c r="G28" i="4"/>
  <c r="G28" i="3"/>
  <c r="I28" i="3" s="1"/>
  <c r="G28" i="2"/>
  <c r="I28" i="2" s="1"/>
  <c r="I30" i="3" l="1"/>
  <c r="M28" i="3"/>
  <c r="H30" i="3"/>
  <c r="E30" i="3"/>
  <c r="F30" i="3"/>
  <c r="D30" i="3"/>
  <c r="C30" i="3"/>
  <c r="I30" i="2"/>
  <c r="M28" i="2"/>
  <c r="H30" i="2"/>
  <c r="F30" i="2"/>
  <c r="E30" i="2"/>
  <c r="D30" i="2"/>
  <c r="I28" i="4"/>
  <c r="I28" i="10"/>
  <c r="I28" i="5"/>
  <c r="G30" i="3"/>
  <c r="G30" i="2"/>
  <c r="I28" i="6"/>
  <c r="K19" i="47"/>
  <c r="C30" i="2"/>
  <c r="G23" i="47"/>
  <c r="K23" i="47" s="1"/>
  <c r="M13" i="17"/>
  <c r="I30" i="4" l="1"/>
  <c r="M28" i="4"/>
  <c r="H30" i="4"/>
  <c r="F30" i="4"/>
  <c r="E30" i="4"/>
  <c r="D30" i="4"/>
  <c r="C30" i="4"/>
  <c r="I30" i="6"/>
  <c r="H30" i="6"/>
  <c r="M28" i="6"/>
  <c r="E30" i="6"/>
  <c r="F30" i="6"/>
  <c r="D30" i="6"/>
  <c r="C30" i="6"/>
  <c r="I30" i="5"/>
  <c r="M28" i="5"/>
  <c r="H30" i="5"/>
  <c r="E30" i="5"/>
  <c r="F30" i="5"/>
  <c r="D30" i="5"/>
  <c r="C30" i="5"/>
  <c r="G30" i="4"/>
  <c r="G30" i="6"/>
  <c r="I30" i="10"/>
  <c r="H30" i="10"/>
  <c r="M28" i="10"/>
  <c r="E30" i="10"/>
  <c r="F30" i="10"/>
  <c r="D30" i="10"/>
  <c r="C30" i="10"/>
  <c r="G30" i="10"/>
  <c r="G18" i="47"/>
  <c r="G30" i="5"/>
  <c r="O13" i="17"/>
  <c r="K21" i="47"/>
  <c r="N22" i="6" l="1"/>
  <c r="M24" i="6" s="1"/>
  <c r="E24" i="2"/>
  <c r="H24" i="2"/>
  <c r="L24" i="2"/>
  <c r="I24" i="2"/>
  <c r="J24" i="2"/>
  <c r="N19" i="9"/>
  <c r="M21" i="9" s="1"/>
  <c r="E22" i="10"/>
  <c r="N22" i="3" l="1"/>
  <c r="N22" i="4"/>
  <c r="M12" i="17"/>
  <c r="N18" i="8"/>
  <c r="D20" i="8" l="1"/>
  <c r="M20" i="8"/>
  <c r="K24" i="3"/>
  <c r="M24" i="3"/>
  <c r="K24" i="4"/>
  <c r="M24" i="4"/>
  <c r="O12" i="17"/>
  <c r="G25" i="47"/>
  <c r="K9" i="47" l="1"/>
  <c r="C30" i="30"/>
  <c r="L30" i="30" l="1"/>
  <c r="K22" i="47" l="1"/>
  <c r="K18" i="47" s="1"/>
  <c r="L22" i="10" l="1"/>
  <c r="K14" i="47" l="1"/>
  <c r="K12" i="47"/>
  <c r="K11" i="47"/>
  <c r="K10" i="47"/>
  <c r="J25" i="47"/>
  <c r="I25" i="47"/>
  <c r="H25" i="47"/>
  <c r="F25" i="47"/>
  <c r="E25" i="47"/>
  <c r="D25" i="47"/>
  <c r="C25" i="47"/>
  <c r="J22" i="10"/>
  <c r="I22" i="10"/>
  <c r="H22" i="10"/>
  <c r="G22" i="10"/>
  <c r="F22" i="10"/>
  <c r="D22" i="10"/>
  <c r="C22" i="10"/>
  <c r="L29" i="29"/>
  <c r="J29" i="29"/>
  <c r="I29" i="29"/>
  <c r="H29" i="29"/>
  <c r="G29" i="29"/>
  <c r="F29" i="29"/>
  <c r="E29" i="29"/>
  <c r="D29" i="29"/>
  <c r="C29" i="29"/>
  <c r="L13" i="29"/>
  <c r="J13" i="29"/>
  <c r="I13" i="29"/>
  <c r="H13" i="29"/>
  <c r="G13" i="29"/>
  <c r="F13" i="29"/>
  <c r="E13" i="29"/>
  <c r="D13" i="29"/>
  <c r="C13" i="29"/>
  <c r="J30" i="30"/>
  <c r="I30" i="30"/>
  <c r="H30" i="30"/>
  <c r="G30" i="30"/>
  <c r="E30" i="30"/>
  <c r="D30" i="30"/>
  <c r="L13" i="30"/>
  <c r="J13" i="30"/>
  <c r="I13" i="30"/>
  <c r="H13" i="30"/>
  <c r="G13" i="30"/>
  <c r="F13" i="30"/>
  <c r="E13" i="30"/>
  <c r="D13" i="30"/>
  <c r="C13" i="30"/>
  <c r="F18" i="31"/>
  <c r="E18" i="31"/>
  <c r="D18" i="31"/>
  <c r="C18" i="31"/>
  <c r="L18" i="32"/>
  <c r="J18" i="32"/>
  <c r="I18" i="32"/>
  <c r="H18" i="32"/>
  <c r="G18" i="32"/>
  <c r="F18" i="32"/>
  <c r="E18" i="32"/>
  <c r="D18" i="32"/>
  <c r="C18" i="32"/>
  <c r="L29" i="53"/>
  <c r="J29" i="53"/>
  <c r="I29" i="53"/>
  <c r="H29" i="53"/>
  <c r="G29" i="53"/>
  <c r="F29" i="53"/>
  <c r="E29" i="53"/>
  <c r="D29" i="53"/>
  <c r="C29" i="53"/>
  <c r="L13" i="53"/>
  <c r="J13" i="53"/>
  <c r="I13" i="53"/>
  <c r="H13" i="53"/>
  <c r="G13" i="53"/>
  <c r="F13" i="53"/>
  <c r="E13" i="53"/>
  <c r="D13" i="53"/>
  <c r="C13" i="53"/>
  <c r="L30" i="12"/>
  <c r="I30" i="12"/>
  <c r="G30" i="12"/>
  <c r="F30" i="12"/>
  <c r="E30" i="12"/>
  <c r="D30" i="12"/>
  <c r="C30" i="12"/>
  <c r="L13" i="12"/>
  <c r="J13" i="12"/>
  <c r="I13" i="12"/>
  <c r="H13" i="12"/>
  <c r="G13" i="12"/>
  <c r="F13" i="12"/>
  <c r="E13" i="12"/>
  <c r="D13" i="12"/>
  <c r="C13" i="12"/>
  <c r="L19" i="9"/>
  <c r="J19" i="9"/>
  <c r="I19" i="9"/>
  <c r="H19" i="9"/>
  <c r="G19" i="9"/>
  <c r="F19" i="9"/>
  <c r="E19" i="9"/>
  <c r="E21" i="9" s="1"/>
  <c r="D19" i="9"/>
  <c r="C19" i="9"/>
  <c r="L18" i="8"/>
  <c r="J18" i="8"/>
  <c r="J20" i="8" s="1"/>
  <c r="I18" i="8"/>
  <c r="H18" i="8"/>
  <c r="H20" i="8" s="1"/>
  <c r="G18" i="8"/>
  <c r="F18" i="8"/>
  <c r="E18" i="8"/>
  <c r="C18" i="8"/>
  <c r="L22" i="6"/>
  <c r="J22" i="6"/>
  <c r="J24" i="6" s="1"/>
  <c r="H22" i="6"/>
  <c r="H24" i="6" s="1"/>
  <c r="G22" i="6"/>
  <c r="F22" i="6"/>
  <c r="F24" i="6" s="1"/>
  <c r="E22" i="6"/>
  <c r="E24" i="6" s="1"/>
  <c r="D22" i="6"/>
  <c r="L22" i="5"/>
  <c r="J22" i="5"/>
  <c r="H22" i="5"/>
  <c r="G22" i="5"/>
  <c r="F22" i="5"/>
  <c r="D22" i="5"/>
  <c r="C22" i="5"/>
  <c r="L22" i="4"/>
  <c r="J22" i="4"/>
  <c r="H22" i="4"/>
  <c r="G22" i="4"/>
  <c r="F22" i="4"/>
  <c r="E22" i="4"/>
  <c r="E24" i="4" s="1"/>
  <c r="D22" i="4"/>
  <c r="C22" i="4"/>
  <c r="L22" i="3"/>
  <c r="J22" i="3"/>
  <c r="G22" i="3"/>
  <c r="E22" i="3"/>
  <c r="D22" i="3"/>
  <c r="C22" i="3"/>
  <c r="D22" i="1"/>
  <c r="C22" i="1"/>
  <c r="N22" i="1" l="1"/>
  <c r="K6" i="47"/>
  <c r="K25" i="47" s="1"/>
  <c r="N22" i="10"/>
  <c r="M24" i="10" s="1"/>
  <c r="N29" i="53"/>
  <c r="M31" i="53" s="1"/>
  <c r="N22" i="5"/>
  <c r="L24" i="5" s="1"/>
  <c r="N13" i="53"/>
  <c r="M15" i="53" s="1"/>
  <c r="N18" i="32"/>
  <c r="M20" i="32" s="1"/>
  <c r="N13" i="29"/>
  <c r="M15" i="29" s="1"/>
  <c r="N29" i="29"/>
  <c r="M31" i="29" s="1"/>
  <c r="N13" i="30"/>
  <c r="M16" i="30" s="1"/>
  <c r="N18" i="31"/>
  <c r="N30" i="12"/>
  <c r="M32" i="12" s="1"/>
  <c r="N13" i="12"/>
  <c r="M15" i="12" s="1"/>
  <c r="D24" i="4"/>
  <c r="D24" i="3"/>
  <c r="C24" i="2"/>
  <c r="M27" i="2"/>
  <c r="M29" i="2" s="1"/>
  <c r="D24" i="2"/>
  <c r="F24" i="2"/>
  <c r="G24" i="2"/>
  <c r="K24" i="2"/>
  <c r="M20" i="31" l="1"/>
  <c r="H20" i="31"/>
  <c r="L20" i="31"/>
  <c r="I20" i="31"/>
  <c r="J20" i="31"/>
  <c r="G20" i="31"/>
  <c r="K20" i="31"/>
  <c r="M27" i="1"/>
  <c r="N24" i="1"/>
  <c r="M24" i="1"/>
  <c r="L24" i="1"/>
  <c r="J24" i="1"/>
  <c r="I24" i="1"/>
  <c r="K24" i="1"/>
  <c r="H24" i="1"/>
  <c r="G24" i="1"/>
  <c r="E24" i="1"/>
  <c r="F24" i="1"/>
  <c r="C24" i="1"/>
  <c r="D24" i="1"/>
  <c r="M27" i="5"/>
  <c r="C24" i="5"/>
  <c r="G32" i="30"/>
  <c r="M32" i="30"/>
  <c r="M24" i="5"/>
  <c r="K24" i="5"/>
  <c r="E24" i="5"/>
  <c r="I24" i="5"/>
  <c r="F24" i="5"/>
  <c r="N24" i="2"/>
  <c r="G24" i="5"/>
  <c r="J24" i="5"/>
  <c r="H24" i="5"/>
  <c r="D24" i="5"/>
  <c r="E24" i="10"/>
  <c r="K24" i="10"/>
  <c r="K31" i="29"/>
  <c r="E15" i="29"/>
  <c r="C15" i="29"/>
  <c r="K15" i="29"/>
  <c r="D24" i="10"/>
  <c r="E32" i="12"/>
  <c r="N27" i="2"/>
  <c r="M27" i="6"/>
  <c r="I24" i="6"/>
  <c r="F15" i="29"/>
  <c r="H15" i="29"/>
  <c r="D15" i="29"/>
  <c r="I15" i="29"/>
  <c r="L15" i="29"/>
  <c r="G15" i="29"/>
  <c r="J15" i="29"/>
  <c r="H31" i="29"/>
  <c r="D31" i="29"/>
  <c r="L31" i="29"/>
  <c r="J31" i="29"/>
  <c r="E31" i="29"/>
  <c r="I31" i="29"/>
  <c r="C31" i="29"/>
  <c r="G31" i="29"/>
  <c r="F31" i="29"/>
  <c r="G24" i="6"/>
  <c r="K24" i="6"/>
  <c r="D24" i="6"/>
  <c r="C15" i="12"/>
  <c r="J24" i="10"/>
  <c r="C24" i="10"/>
  <c r="D20" i="32"/>
  <c r="L20" i="8"/>
  <c r="K20" i="8"/>
  <c r="E20" i="8"/>
  <c r="G20" i="8"/>
  <c r="C24" i="6"/>
  <c r="L24" i="6"/>
  <c r="C16" i="30"/>
  <c r="C20" i="8"/>
  <c r="I20" i="8"/>
  <c r="H24" i="10"/>
  <c r="M27" i="10"/>
  <c r="L24" i="3"/>
  <c r="H24" i="3"/>
  <c r="D31" i="53"/>
  <c r="C15" i="53"/>
  <c r="J24" i="3"/>
  <c r="E24" i="3"/>
  <c r="C24" i="3"/>
  <c r="M27" i="3"/>
  <c r="M29" i="3" s="1"/>
  <c r="N29" i="3" s="1"/>
  <c r="G16" i="30"/>
  <c r="J31" i="53"/>
  <c r="E31" i="53"/>
  <c r="C31" i="53"/>
  <c r="L31" i="53"/>
  <c r="H31" i="53"/>
  <c r="I31" i="53"/>
  <c r="L32" i="12"/>
  <c r="H32" i="12"/>
  <c r="J32" i="12"/>
  <c r="D32" i="12"/>
  <c r="L21" i="9"/>
  <c r="F20" i="8"/>
  <c r="L24" i="4"/>
  <c r="J24" i="4"/>
  <c r="H24" i="4"/>
  <c r="I24" i="3"/>
  <c r="G24" i="3"/>
  <c r="F24" i="3"/>
  <c r="J32" i="30"/>
  <c r="K16" i="30"/>
  <c r="L16" i="30"/>
  <c r="L20" i="32"/>
  <c r="E20" i="32"/>
  <c r="H20" i="32"/>
  <c r="K20" i="32"/>
  <c r="G20" i="32"/>
  <c r="K15" i="53"/>
  <c r="J15" i="53"/>
  <c r="G15" i="53"/>
  <c r="L15" i="12"/>
  <c r="J15" i="12"/>
  <c r="H15" i="12"/>
  <c r="E15" i="12"/>
  <c r="K15" i="12"/>
  <c r="J21" i="9"/>
  <c r="H21" i="9"/>
  <c r="C21" i="9"/>
  <c r="K21" i="9"/>
  <c r="I21" i="9"/>
  <c r="D21" i="9"/>
  <c r="C24" i="4"/>
  <c r="N24" i="4"/>
  <c r="M27" i="4"/>
  <c r="L24" i="10"/>
  <c r="L32" i="30"/>
  <c r="H32" i="30"/>
  <c r="C32" i="30"/>
  <c r="D32" i="30"/>
  <c r="E32" i="30"/>
  <c r="F32" i="30"/>
  <c r="I32" i="30"/>
  <c r="I16" i="30"/>
  <c r="F16" i="30"/>
  <c r="H16" i="30"/>
  <c r="D16" i="30"/>
  <c r="J16" i="30"/>
  <c r="E16" i="30"/>
  <c r="K31" i="53"/>
  <c r="G31" i="53"/>
  <c r="F31" i="53"/>
  <c r="C32" i="12"/>
  <c r="K32" i="12"/>
  <c r="I32" i="12"/>
  <c r="G32" i="12"/>
  <c r="F32" i="12"/>
  <c r="I15" i="12"/>
  <c r="G21" i="9"/>
  <c r="I24" i="4"/>
  <c r="I24" i="10"/>
  <c r="G24" i="10"/>
  <c r="F24" i="10"/>
  <c r="K32" i="30"/>
  <c r="D20" i="31"/>
  <c r="F20" i="31"/>
  <c r="E20" i="31"/>
  <c r="C20" i="31"/>
  <c r="J20" i="32"/>
  <c r="C20" i="32"/>
  <c r="I20" i="32"/>
  <c r="F20" i="32"/>
  <c r="L15" i="53"/>
  <c r="H15" i="53"/>
  <c r="E15" i="53"/>
  <c r="I15" i="53"/>
  <c r="F15" i="53"/>
  <c r="D15" i="53"/>
  <c r="F15" i="12"/>
  <c r="G15" i="12"/>
  <c r="D15" i="12"/>
  <c r="F21" i="9"/>
  <c r="G24" i="4"/>
  <c r="F24" i="4"/>
  <c r="M29" i="5"/>
  <c r="N29" i="5" s="1"/>
  <c r="N16" i="30" l="1"/>
  <c r="N24" i="10"/>
  <c r="N15" i="29"/>
  <c r="N31" i="29"/>
  <c r="N32" i="30"/>
  <c r="N24" i="5"/>
  <c r="N20" i="32"/>
  <c r="N20" i="31"/>
  <c r="N21" i="9"/>
  <c r="N31" i="53"/>
  <c r="N20" i="8"/>
  <c r="N32" i="12"/>
  <c r="N24" i="3"/>
  <c r="N15" i="53"/>
  <c r="N15" i="12"/>
  <c r="N24" i="6"/>
  <c r="M29" i="4"/>
  <c r="N27" i="4" s="1"/>
  <c r="M29" i="10"/>
  <c r="N27" i="10" s="1"/>
  <c r="M29" i="6"/>
  <c r="N27" i="6" s="1"/>
  <c r="M29" i="1"/>
  <c r="N29" i="2"/>
  <c r="N28" i="2"/>
  <c r="N27" i="3"/>
  <c r="N28" i="3"/>
  <c r="N27" i="5"/>
  <c r="N28" i="5"/>
  <c r="N29" i="10" l="1"/>
  <c r="N28" i="10"/>
  <c r="N29" i="1"/>
  <c r="N28" i="1"/>
  <c r="N27" i="1"/>
  <c r="N29" i="6"/>
  <c r="N28" i="6"/>
  <c r="N29" i="4"/>
  <c r="N28" i="4"/>
</calcChain>
</file>

<file path=xl/sharedStrings.xml><?xml version="1.0" encoding="utf-8"?>
<sst xmlns="http://schemas.openxmlformats.org/spreadsheetml/2006/main" count="878" uniqueCount="121">
  <si>
    <t>Ред.   бр.</t>
  </si>
  <si>
    <t>Класа на осигурување</t>
  </si>
  <si>
    <t>неживот</t>
  </si>
  <si>
    <t>Вкупно</t>
  </si>
  <si>
    <t>Триглав</t>
  </si>
  <si>
    <t>Евроинс</t>
  </si>
  <si>
    <t>Сава</t>
  </si>
  <si>
    <t>Винер</t>
  </si>
  <si>
    <t>Еуролинк</t>
  </si>
  <si>
    <t>Уника</t>
  </si>
  <si>
    <t>Ос.Полиса</t>
  </si>
  <si>
    <t>Кроација</t>
  </si>
  <si>
    <t>Незгода</t>
  </si>
  <si>
    <t>Здравствено осигурување</t>
  </si>
  <si>
    <t>Моторни возила - каско</t>
  </si>
  <si>
    <t>Шински возила - каско</t>
  </si>
  <si>
    <t>Воздухоплови - каско</t>
  </si>
  <si>
    <t>Пловни објекти - каско</t>
  </si>
  <si>
    <t>Стока во превоз - карго</t>
  </si>
  <si>
    <t>Имот од пожари и други непогоди</t>
  </si>
  <si>
    <t xml:space="preserve">Останати осигурувања на имот </t>
  </si>
  <si>
    <t>АО (вкупно )</t>
  </si>
  <si>
    <t>Одговорност воздухоплови</t>
  </si>
  <si>
    <t>Одговорност пловни објекти</t>
  </si>
  <si>
    <t xml:space="preserve">Општо осигурување од одговорност </t>
  </si>
  <si>
    <t>Осигурување на кредити</t>
  </si>
  <si>
    <t>Осигурување на гаранции</t>
  </si>
  <si>
    <t>Осигурување од финансиски загуби</t>
  </si>
  <si>
    <t>Осигурување на правна заштита</t>
  </si>
  <si>
    <t>Осигурување на туристичка помош</t>
  </si>
  <si>
    <t xml:space="preserve">Вкупно  </t>
  </si>
  <si>
    <t xml:space="preserve">% по друштво за неживотно осигурување </t>
  </si>
  <si>
    <t>Граве</t>
  </si>
  <si>
    <t>Неживот</t>
  </si>
  <si>
    <t>Живот</t>
  </si>
  <si>
    <t xml:space="preserve">% по друштво за животно осигурување </t>
  </si>
  <si>
    <t>во 000 мкд</t>
  </si>
  <si>
    <t xml:space="preserve">Вкупно </t>
  </si>
  <si>
    <t>Ос.полиса</t>
  </si>
  <si>
    <t>Патнички автомобили</t>
  </si>
  <si>
    <t>Товарни возила</t>
  </si>
  <si>
    <t>Автобуси</t>
  </si>
  <si>
    <t>Влечни возила</t>
  </si>
  <si>
    <t>Специјални возила</t>
  </si>
  <si>
    <t>Моторцикли и скутери</t>
  </si>
  <si>
    <t>Приклучни возила</t>
  </si>
  <si>
    <t>Работни моторни возила</t>
  </si>
  <si>
    <t>Возила за време на пробни возења и престој во складишта</t>
  </si>
  <si>
    <t>Возила за време на доопремување на сопствени оски (пер акс)</t>
  </si>
  <si>
    <t>Моторни возила со пробни таблици</t>
  </si>
  <si>
    <t>Возила за време на поправка во автомеханичарски и авторемонтни работилници и во работилници за перење и подмачкување</t>
  </si>
  <si>
    <t>Возила со посебни регистарски ознаки кои се во промет на територија на РМ</t>
  </si>
  <si>
    <t>000 мкд</t>
  </si>
  <si>
    <t xml:space="preserve">% </t>
  </si>
  <si>
    <t xml:space="preserve">Вкупно ЗК </t>
  </si>
  <si>
    <t>Вкупно (неживот)</t>
  </si>
  <si>
    <t>Вкупно (живот)</t>
  </si>
  <si>
    <t>Друштво за осигурување</t>
  </si>
  <si>
    <t>Трошоци за провизија</t>
  </si>
  <si>
    <t>Резерви за настанати и пријавени штети</t>
  </si>
  <si>
    <t>Резерви за настанати но непријавени штети</t>
  </si>
  <si>
    <t>Број на штети</t>
  </si>
  <si>
    <t>Исплатени износи</t>
  </si>
  <si>
    <t>Број на резервирани штети</t>
  </si>
  <si>
    <t>Неосигурени возила</t>
  </si>
  <si>
    <t>Непознати возила</t>
  </si>
  <si>
    <t>Останати услужни штети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</si>
  <si>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</si>
  <si>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Општа одговорност </t>
  </si>
  <si>
    <t>Македонија</t>
  </si>
  <si>
    <t xml:space="preserve">Директна продажба </t>
  </si>
  <si>
    <t>Осиг. брокерски друштва</t>
  </si>
  <si>
    <t>Друштва за застапување</t>
  </si>
  <si>
    <t>Туристички агенции</t>
  </si>
  <si>
    <t xml:space="preserve">Авто салони </t>
  </si>
  <si>
    <t>Банки</t>
  </si>
  <si>
    <t>Број на склучени договори</t>
  </si>
  <si>
    <t xml:space="preserve">Бруто полисирана премија </t>
  </si>
  <si>
    <t>Застапници во осигурување</t>
  </si>
  <si>
    <t>Останати дистрибутивни канали</t>
  </si>
  <si>
    <t>Математичка резерва</t>
  </si>
  <si>
    <t>Резерви на штети</t>
  </si>
  <si>
    <t>Ред.           бр.</t>
  </si>
  <si>
    <t>Резерви за преносна премија</t>
  </si>
  <si>
    <t>Резерви за бонуси и попусти</t>
  </si>
  <si>
    <t>Резерви за штети</t>
  </si>
  <si>
    <t>Еквилизациона резерва</t>
  </si>
  <si>
    <t>Други технички резерви</t>
  </si>
  <si>
    <t>Вкупно резерви за штети</t>
  </si>
  <si>
    <t>Друштво</t>
  </si>
  <si>
    <t>живот</t>
  </si>
  <si>
    <t xml:space="preserve"> Во 000 мкд</t>
  </si>
  <si>
    <t>Во 000 мкд</t>
  </si>
  <si>
    <t>Халк</t>
  </si>
  <si>
    <t>Граве н.</t>
  </si>
  <si>
    <t>Прва живот</t>
  </si>
  <si>
    <t>Зоил</t>
  </si>
  <si>
    <t>Бруто полисирана премија за период од 01.01.2025 до 30.09.2025</t>
  </si>
  <si>
    <t>Број на договори за период од 01.01.2025 до 30.09.2025</t>
  </si>
  <si>
    <t>Бруто исплатени (ликвидирани) штети за период од 01.01.2025 до 30.09.2025</t>
  </si>
  <si>
    <t>Број исплатени (ликвидирани) штети за период од 01.01.2025 до 30.09.2025</t>
  </si>
  <si>
    <t>Број на резервирани штети за период од 01.01.2025 до 30.09.2025</t>
  </si>
  <si>
    <t>Бруто резерви за настанати и пријавени штети за период од 01.01.2025 до 30.09.2025</t>
  </si>
  <si>
    <t>Бруто резерви за настанати но непријавени штети за период од 01.01.2025 до 30.09.2025</t>
  </si>
  <si>
    <t>Договори за ЗАО за период од 01.01.2025 до 30.09.2025</t>
  </si>
  <si>
    <t>Премија за ЗАО за период од 01.01.2025 до 30.09.2025</t>
  </si>
  <si>
    <t>Број на Зелена карта за период од 01.01.2025 до 30.09.2025</t>
  </si>
  <si>
    <t>Број на Гранично осигурување за период од 01.01.2025 до 30.09.2025</t>
  </si>
  <si>
    <t>Број на штети од ЗАО за период од 01.01.2025 до 30.09.2025</t>
  </si>
  <si>
    <t>Премија за Зелена карта за период од 01.01.2025 до 30.09.2025</t>
  </si>
  <si>
    <t>Премија за Гранично осигурување за период од 01.01.2025 до 30.09.2025</t>
  </si>
  <si>
    <t>Ликвидирани штети на ЗАО за период од 01.01.2025 до 30.09.2025</t>
  </si>
  <si>
    <t>Број на штети на Зелена карта за период од 01.01.2025 до 30.09.2025</t>
  </si>
  <si>
    <t>Ликвидирани штети за ЗК за период од 01.01.2025 до 30.09.2025</t>
  </si>
  <si>
    <t>Број на штети Гранично осигурување за период од 01.01.2025 до 30.09.2025</t>
  </si>
  <si>
    <t>Ликвидирани штети за Гранично осигурување за период од 01.01.2025 до 30.09.2025</t>
  </si>
  <si>
    <t>Техничка премија за период од 01.01.2025 до 30.09.2025</t>
  </si>
  <si>
    <t xml:space="preserve">          Резерви за настанати и пријавени, непријавени штети за период од 01.01.2025 до 30.09.2025</t>
  </si>
  <si>
    <t>Продажба по канали за период од 01.01.2025 до 30.09.2025 година</t>
  </si>
  <si>
    <t>Бруто технички резерви за периодот од  01.01.2025 до 30.09.2025</t>
  </si>
  <si>
    <t>Неосигурени возила, непознати возила и услужни штети за период од 01.01.2025 до 30.09.2025 година ( Вкупно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</si>
</sst>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charset val="204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8"/>
      <name val="Calibri"/>
      <family val="2"/>
      <charset val="204"/>
      <scheme val="minor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5">
    <xf numFmtId="0" fontId="0" fillId="0" borderId="0" xfId="0"/>
    <xf numFmtId="0" fontId="0" fillId="0" borderId="0" xfId="0"/>
    <xf numFmtId="0" fontId="5" fillId="0" borderId="0" xfId="1" applyFont="1"/>
    <xf numFmtId="0" fontId="6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3" fillId="0" borderId="0" xfId="1" applyFont="1"/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3" fontId="11" fillId="3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3" fontId="8" fillId="4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0" fontId="12" fillId="3" borderId="1" xfId="2" applyNumberFormat="1" applyFont="1" applyFill="1" applyBorder="1" applyAlignment="1">
      <alignment vertical="center"/>
    </xf>
    <xf numFmtId="10" fontId="5" fillId="2" borderId="13" xfId="2" applyNumberFormat="1" applyFont="1" applyFill="1" applyBorder="1" applyAlignment="1">
      <alignment vertical="center"/>
    </xf>
    <xf numFmtId="10" fontId="5" fillId="3" borderId="1" xfId="2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3" fontId="8" fillId="3" borderId="0" xfId="0" applyNumberFormat="1" applyFont="1" applyFill="1" applyBorder="1"/>
    <xf numFmtId="3" fontId="8" fillId="3" borderId="0" xfId="0" applyNumberFormat="1" applyFont="1" applyFill="1" applyBorder="1" applyAlignment="1">
      <alignment vertical="center"/>
    </xf>
    <xf numFmtId="10" fontId="5" fillId="2" borderId="1" xfId="6" applyNumberFormat="1" applyFont="1" applyFill="1" applyBorder="1" applyAlignment="1">
      <alignment vertical="center"/>
    </xf>
    <xf numFmtId="10" fontId="5" fillId="3" borderId="1" xfId="6" applyNumberFormat="1" applyFont="1" applyFill="1" applyBorder="1" applyAlignment="1">
      <alignment vertical="center"/>
    </xf>
    <xf numFmtId="0" fontId="6" fillId="0" borderId="0" xfId="0" applyFont="1"/>
    <xf numFmtId="3" fontId="5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14" fillId="0" borderId="0" xfId="0" applyFont="1"/>
    <xf numFmtId="0" fontId="5" fillId="2" borderId="7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vertical="center"/>
    </xf>
    <xf numFmtId="10" fontId="12" fillId="3" borderId="1" xfId="6" applyNumberFormat="1" applyFont="1" applyFill="1" applyBorder="1" applyAlignment="1">
      <alignment vertical="center"/>
    </xf>
    <xf numFmtId="10" fontId="5" fillId="2" borderId="13" xfId="6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11" fillId="3" borderId="0" xfId="0" applyNumberFormat="1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10" fontId="5" fillId="3" borderId="13" xfId="6" applyNumberFormat="1" applyFont="1" applyFill="1" applyBorder="1" applyAlignment="1">
      <alignment vertical="center"/>
    </xf>
    <xf numFmtId="10" fontId="12" fillId="2" borderId="1" xfId="6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0" fontId="5" fillId="6" borderId="17" xfId="0" applyFont="1" applyFill="1" applyBorder="1"/>
    <xf numFmtId="0" fontId="5" fillId="6" borderId="0" xfId="0" applyFont="1" applyFill="1" applyBorder="1"/>
    <xf numFmtId="0" fontId="5" fillId="0" borderId="1" xfId="0" applyFont="1" applyBorder="1"/>
    <xf numFmtId="0" fontId="12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2" borderId="10" xfId="1" applyFont="1" applyFill="1" applyBorder="1" applyAlignment="1">
      <alignment vertical="center"/>
    </xf>
    <xf numFmtId="0" fontId="0" fillId="0" borderId="0" xfId="0" applyBorder="1"/>
    <xf numFmtId="10" fontId="12" fillId="2" borderId="1" xfId="2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4" fillId="0" borderId="0" xfId="0" applyFont="1"/>
    <xf numFmtId="3" fontId="24" fillId="2" borderId="4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14" fillId="0" borderId="25" xfId="0" applyNumberFormat="1" applyFont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3" fontId="24" fillId="3" borderId="6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vertical="center"/>
    </xf>
    <xf numFmtId="3" fontId="14" fillId="2" borderId="4" xfId="0" applyNumberFormat="1" applyFont="1" applyFill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3" fontId="24" fillId="3" borderId="4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vertical="center"/>
    </xf>
    <xf numFmtId="3" fontId="11" fillId="3" borderId="1" xfId="1" applyNumberFormat="1" applyFont="1" applyFill="1" applyBorder="1" applyAlignment="1">
      <alignment vertical="center"/>
    </xf>
    <xf numFmtId="3" fontId="8" fillId="2" borderId="13" xfId="1" applyNumberFormat="1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3" fontId="14" fillId="2" borderId="7" xfId="0" applyNumberFormat="1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3" fontId="23" fillId="3" borderId="7" xfId="0" applyNumberFormat="1" applyFont="1" applyFill="1" applyBorder="1" applyAlignment="1">
      <alignment vertical="center"/>
    </xf>
    <xf numFmtId="3" fontId="23" fillId="2" borderId="9" xfId="0" applyNumberFormat="1" applyFont="1" applyFill="1" applyBorder="1" applyAlignment="1">
      <alignment vertical="center"/>
    </xf>
    <xf numFmtId="3" fontId="14" fillId="2" borderId="9" xfId="0" applyNumberFormat="1" applyFont="1" applyFill="1" applyBorder="1" applyAlignment="1">
      <alignment vertical="center"/>
    </xf>
    <xf numFmtId="3" fontId="23" fillId="2" borderId="7" xfId="0" applyNumberFormat="1" applyFont="1" applyFill="1" applyBorder="1" applyAlignment="1">
      <alignment vertical="center"/>
    </xf>
    <xf numFmtId="3" fontId="5" fillId="3" borderId="6" xfId="1" applyNumberFormat="1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2" borderId="3" xfId="1" applyNumberFormat="1" applyFont="1" applyFill="1" applyBorder="1" applyAlignment="1">
      <alignment vertical="center"/>
    </xf>
    <xf numFmtId="3" fontId="5" fillId="2" borderId="16" xfId="1" applyNumberFormat="1" applyFont="1" applyFill="1" applyBorder="1" applyAlignment="1">
      <alignment vertical="center"/>
    </xf>
    <xf numFmtId="3" fontId="5" fillId="3" borderId="7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3" fontId="5" fillId="3" borderId="3" xfId="1" applyNumberFormat="1" applyFont="1" applyFill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31" fillId="3" borderId="1" xfId="1" applyNumberFormat="1" applyFont="1" applyFill="1" applyBorder="1" applyAlignment="1">
      <alignment vertical="center"/>
    </xf>
    <xf numFmtId="3" fontId="31" fillId="2" borderId="13" xfId="1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horizontal="left" vertical="center" wrapText="1"/>
    </xf>
    <xf numFmtId="1" fontId="5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2" fontId="7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10" fontId="5" fillId="3" borderId="1" xfId="6" applyNumberFormat="1" applyFont="1" applyFill="1" applyBorder="1"/>
    <xf numFmtId="0" fontId="32" fillId="0" borderId="0" xfId="0" applyFont="1"/>
    <xf numFmtId="0" fontId="33" fillId="0" borderId="0" xfId="0" applyFont="1"/>
    <xf numFmtId="0" fontId="4" fillId="0" borderId="0" xfId="0" applyFont="1" applyAlignment="1">
      <alignment vertical="center"/>
    </xf>
    <xf numFmtId="3" fontId="12" fillId="0" borderId="1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vertical="center"/>
    </xf>
    <xf numFmtId="0" fontId="0" fillId="0" borderId="0" xfId="0" applyAlignment="1"/>
    <xf numFmtId="3" fontId="23" fillId="3" borderId="3" xfId="0" applyNumberFormat="1" applyFont="1" applyFill="1" applyBorder="1" applyAlignment="1">
      <alignment vertical="center"/>
    </xf>
    <xf numFmtId="3" fontId="19" fillId="3" borderId="39" xfId="0" applyNumberFormat="1" applyFont="1" applyFill="1" applyBorder="1" applyAlignment="1">
      <alignment vertical="center"/>
    </xf>
    <xf numFmtId="3" fontId="19" fillId="3" borderId="40" xfId="0" applyNumberFormat="1" applyFont="1" applyFill="1" applyBorder="1" applyAlignment="1">
      <alignment vertical="center"/>
    </xf>
    <xf numFmtId="1" fontId="19" fillId="0" borderId="39" xfId="0" applyNumberFormat="1" applyFont="1" applyBorder="1" applyAlignment="1">
      <alignment vertical="center"/>
    </xf>
    <xf numFmtId="3" fontId="19" fillId="0" borderId="39" xfId="0" applyNumberFormat="1" applyFont="1" applyBorder="1" applyAlignment="1">
      <alignment vertical="center"/>
    </xf>
    <xf numFmtId="3" fontId="19" fillId="0" borderId="40" xfId="0" applyNumberFormat="1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/>
    </xf>
    <xf numFmtId="0" fontId="5" fillId="0" borderId="48" xfId="1" applyFont="1" applyBorder="1" applyAlignment="1">
      <alignment horizontal="center" vertical="center"/>
    </xf>
    <xf numFmtId="0" fontId="6" fillId="2" borderId="42" xfId="1" applyFont="1" applyFill="1" applyBorder="1" applyAlignment="1">
      <alignment vertical="center"/>
    </xf>
    <xf numFmtId="3" fontId="5" fillId="2" borderId="42" xfId="0" applyNumberFormat="1" applyFont="1" applyFill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2" borderId="43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3" fontId="42" fillId="2" borderId="4" xfId="0" applyNumberFormat="1" applyFont="1" applyFill="1" applyBorder="1" applyAlignment="1">
      <alignment vertical="center" wrapText="1"/>
    </xf>
    <xf numFmtId="3" fontId="5" fillId="0" borderId="12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28" fillId="2" borderId="17" xfId="0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4" fontId="5" fillId="3" borderId="7" xfId="1" applyNumberFormat="1" applyFont="1" applyFill="1" applyBorder="1" applyAlignment="1">
      <alignment vertical="center"/>
    </xf>
    <xf numFmtId="3" fontId="0" fillId="0" borderId="0" xfId="0" applyNumberFormat="1"/>
    <xf numFmtId="3" fontId="23" fillId="3" borderId="9" xfId="0" applyNumberFormat="1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3" fontId="23" fillId="2" borderId="4" xfId="0" applyNumberFormat="1" applyFont="1" applyFill="1" applyBorder="1" applyAlignment="1">
      <alignment vertical="center" wrapText="1"/>
    </xf>
    <xf numFmtId="3" fontId="42" fillId="7" borderId="49" xfId="0" applyNumberFormat="1" applyFont="1" applyFill="1" applyBorder="1" applyAlignment="1">
      <alignment vertical="center" wrapText="1"/>
    </xf>
    <xf numFmtId="3" fontId="14" fillId="2" borderId="50" xfId="0" applyNumberFormat="1" applyFont="1" applyFill="1" applyBorder="1" applyAlignment="1">
      <alignment vertical="center"/>
    </xf>
    <xf numFmtId="3" fontId="14" fillId="3" borderId="51" xfId="0" applyNumberFormat="1" applyFont="1" applyFill="1" applyBorder="1" applyAlignment="1">
      <alignment vertical="center"/>
    </xf>
    <xf numFmtId="3" fontId="42" fillId="7" borderId="7" xfId="0" applyNumberFormat="1" applyFont="1" applyFill="1" applyBorder="1" applyAlignment="1">
      <alignment vertical="center" wrapText="1"/>
    </xf>
    <xf numFmtId="3" fontId="43" fillId="2" borderId="42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3" fontId="5" fillId="2" borderId="20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3" fontId="5" fillId="2" borderId="1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/>
    </xf>
    <xf numFmtId="3" fontId="14" fillId="2" borderId="51" xfId="0" applyNumberFormat="1" applyFont="1" applyFill="1" applyBorder="1" applyAlignment="1">
      <alignment vertical="center"/>
    </xf>
    <xf numFmtId="3" fontId="23" fillId="2" borderId="17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4" fillId="0" borderId="39" xfId="0" applyFont="1" applyBorder="1"/>
    <xf numFmtId="4" fontId="0" fillId="0" borderId="39" xfId="0" applyNumberFormat="1" applyBorder="1"/>
    <xf numFmtId="0" fontId="0" fillId="0" borderId="54" xfId="0" applyBorder="1"/>
    <xf numFmtId="3" fontId="23" fillId="2" borderId="39" xfId="0" applyNumberFormat="1" applyFont="1" applyFill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3" fontId="5" fillId="8" borderId="3" xfId="1" applyNumberFormat="1" applyFont="1" applyFill="1" applyBorder="1" applyAlignment="1">
      <alignment vertical="center"/>
    </xf>
    <xf numFmtId="3" fontId="5" fillId="8" borderId="43" xfId="0" applyNumberFormat="1" applyFont="1" applyFill="1" applyBorder="1" applyAlignment="1">
      <alignment vertical="center"/>
    </xf>
    <xf numFmtId="10" fontId="12" fillId="8" borderId="1" xfId="2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10" fontId="8" fillId="2" borderId="19" xfId="0" applyNumberFormat="1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vertical="center"/>
    </xf>
    <xf numFmtId="10" fontId="8" fillId="2" borderId="1" xfId="0" applyNumberFormat="1" applyFont="1" applyFill="1" applyBorder="1" applyAlignment="1">
      <alignment vertical="center"/>
    </xf>
    <xf numFmtId="3" fontId="8" fillId="8" borderId="11" xfId="0" applyNumberFormat="1" applyFont="1" applyFill="1" applyBorder="1" applyAlignment="1">
      <alignment vertical="center"/>
    </xf>
    <xf numFmtId="10" fontId="8" fillId="2" borderId="20" xfId="0" applyNumberFormat="1" applyFont="1" applyFill="1" applyBorder="1" applyAlignment="1">
      <alignment vertical="center"/>
    </xf>
    <xf numFmtId="3" fontId="5" fillId="8" borderId="52" xfId="1" applyNumberFormat="1" applyFont="1" applyFill="1" applyBorder="1" applyAlignment="1">
      <alignment vertical="center"/>
    </xf>
    <xf numFmtId="3" fontId="5" fillId="8" borderId="50" xfId="1" applyNumberFormat="1" applyFont="1" applyFill="1" applyBorder="1" applyAlignment="1">
      <alignment vertical="center"/>
    </xf>
    <xf numFmtId="3" fontId="12" fillId="8" borderId="50" xfId="1" applyNumberFormat="1" applyFont="1" applyFill="1" applyBorder="1" applyAlignment="1">
      <alignment vertical="center"/>
    </xf>
    <xf numFmtId="3" fontId="5" fillId="8" borderId="9" xfId="1" applyNumberFormat="1" applyFont="1" applyFill="1" applyBorder="1" applyAlignment="1">
      <alignment vertical="center"/>
    </xf>
    <xf numFmtId="3" fontId="8" fillId="8" borderId="1" xfId="1" applyNumberFormat="1" applyFont="1" applyFill="1" applyBorder="1" applyAlignment="1">
      <alignment vertical="center"/>
    </xf>
    <xf numFmtId="3" fontId="5" fillId="8" borderId="14" xfId="0" applyNumberFormat="1" applyFont="1" applyFill="1" applyBorder="1" applyAlignment="1">
      <alignment vertical="center"/>
    </xf>
    <xf numFmtId="3" fontId="5" fillId="8" borderId="1" xfId="0" applyNumberFormat="1" applyFont="1" applyFill="1" applyBorder="1" applyAlignment="1">
      <alignment vertical="center"/>
    </xf>
    <xf numFmtId="10" fontId="5" fillId="8" borderId="1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5" fillId="8" borderId="52" xfId="0" applyNumberFormat="1" applyFont="1" applyFill="1" applyBorder="1" applyAlignment="1">
      <alignment vertical="center"/>
    </xf>
    <xf numFmtId="3" fontId="8" fillId="8" borderId="14" xfId="0" applyNumberFormat="1" applyFont="1" applyFill="1" applyBorder="1" applyAlignment="1">
      <alignment vertical="center"/>
    </xf>
    <xf numFmtId="10" fontId="5" fillId="8" borderId="1" xfId="6" applyNumberFormat="1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right" vertical="center"/>
    </xf>
    <xf numFmtId="3" fontId="8" fillId="8" borderId="11" xfId="0" applyNumberFormat="1" applyFont="1" applyFill="1" applyBorder="1" applyAlignment="1">
      <alignment horizontal="right" vertical="center"/>
    </xf>
    <xf numFmtId="164" fontId="5" fillId="8" borderId="1" xfId="6" applyNumberFormat="1" applyFont="1" applyFill="1" applyBorder="1" applyAlignment="1">
      <alignment vertical="center"/>
    </xf>
    <xf numFmtId="10" fontId="5" fillId="8" borderId="14" xfId="6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2" borderId="36" xfId="0" applyNumberFormat="1" applyFont="1" applyFill="1" applyBorder="1" applyAlignment="1">
      <alignment vertical="center"/>
    </xf>
    <xf numFmtId="10" fontId="12" fillId="8" borderId="14" xfId="6" applyNumberFormat="1" applyFont="1" applyFill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8" xfId="0" applyNumberFormat="1" applyFont="1" applyFill="1" applyBorder="1" applyAlignment="1">
      <alignment vertical="center"/>
    </xf>
    <xf numFmtId="0" fontId="27" fillId="3" borderId="20" xfId="1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3" fontId="24" fillId="8" borderId="52" xfId="0" applyNumberFormat="1" applyFont="1" applyFill="1" applyBorder="1" applyAlignment="1">
      <alignment vertical="center"/>
    </xf>
    <xf numFmtId="3" fontId="24" fillId="8" borderId="29" xfId="0" applyNumberFormat="1" applyFont="1" applyFill="1" applyBorder="1" applyAlignment="1">
      <alignment vertical="center"/>
    </xf>
    <xf numFmtId="3" fontId="24" fillId="8" borderId="30" xfId="0" applyNumberFormat="1" applyFont="1" applyFill="1" applyBorder="1" applyAlignment="1">
      <alignment horizontal="right" vertical="center"/>
    </xf>
    <xf numFmtId="3" fontId="24" fillId="8" borderId="1" xfId="0" applyNumberFormat="1" applyFont="1" applyFill="1" applyBorder="1" applyAlignment="1">
      <alignment horizontal="right" vertical="center"/>
    </xf>
    <xf numFmtId="3" fontId="24" fillId="8" borderId="6" xfId="0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6" borderId="2" xfId="0" applyFont="1" applyFill="1" applyBorder="1"/>
    <xf numFmtId="0" fontId="24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vertical="center"/>
    </xf>
    <xf numFmtId="3" fontId="7" fillId="8" borderId="1" xfId="0" applyNumberFormat="1" applyFont="1" applyFill="1" applyBorder="1"/>
    <xf numFmtId="3" fontId="7" fillId="8" borderId="1" xfId="0" applyNumberFormat="1" applyFont="1" applyFill="1" applyBorder="1" applyAlignment="1">
      <alignment vertical="center"/>
    </xf>
    <xf numFmtId="3" fontId="7" fillId="8" borderId="11" xfId="0" applyNumberFormat="1" applyFont="1" applyFill="1" applyBorder="1" applyAlignment="1">
      <alignment vertical="center"/>
    </xf>
    <xf numFmtId="3" fontId="36" fillId="8" borderId="11" xfId="0" applyNumberFormat="1" applyFont="1" applyFill="1" applyBorder="1" applyAlignment="1">
      <alignment vertical="center"/>
    </xf>
    <xf numFmtId="3" fontId="36" fillId="8" borderId="1" xfId="0" applyNumberFormat="1" applyFont="1" applyFill="1" applyBorder="1" applyAlignment="1">
      <alignment vertical="center"/>
    </xf>
    <xf numFmtId="3" fontId="24" fillId="8" borderId="1" xfId="0" applyNumberFormat="1" applyFont="1" applyFill="1" applyBorder="1"/>
    <xf numFmtId="3" fontId="24" fillId="8" borderId="1" xfId="0" applyNumberFormat="1" applyFont="1" applyFill="1" applyBorder="1" applyAlignment="1">
      <alignment vertical="center"/>
    </xf>
    <xf numFmtId="3" fontId="31" fillId="8" borderId="1" xfId="0" applyNumberFormat="1" applyFont="1" applyFill="1" applyBorder="1" applyAlignment="1">
      <alignment vertical="center"/>
    </xf>
    <xf numFmtId="3" fontId="25" fillId="8" borderId="11" xfId="0" applyNumberFormat="1" applyFont="1" applyFill="1" applyBorder="1" applyAlignment="1">
      <alignment vertical="center"/>
    </xf>
    <xf numFmtId="3" fontId="37" fillId="8" borderId="11" xfId="0" applyNumberFormat="1" applyFont="1" applyFill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3" fontId="14" fillId="3" borderId="55" xfId="0" applyNumberFormat="1" applyFont="1" applyFill="1" applyBorder="1" applyAlignment="1">
      <alignment vertical="center"/>
    </xf>
    <xf numFmtId="3" fontId="23" fillId="3" borderId="55" xfId="0" applyNumberFormat="1" applyFont="1" applyFill="1" applyBorder="1" applyAlignment="1">
      <alignment vertical="center"/>
    </xf>
    <xf numFmtId="0" fontId="5" fillId="0" borderId="30" xfId="0" applyFont="1" applyBorder="1"/>
    <xf numFmtId="3" fontId="5" fillId="0" borderId="30" xfId="0" applyNumberFormat="1" applyFont="1" applyBorder="1"/>
    <xf numFmtId="3" fontId="5" fillId="0" borderId="20" xfId="0" applyNumberFormat="1" applyFont="1" applyBorder="1"/>
    <xf numFmtId="0" fontId="4" fillId="3" borderId="10" xfId="1" applyFont="1" applyFill="1" applyBorder="1" applyAlignment="1">
      <alignment horizontal="center" vertical="center"/>
    </xf>
    <xf numFmtId="3" fontId="5" fillId="3" borderId="22" xfId="1" applyNumberFormat="1" applyFont="1" applyFill="1" applyBorder="1" applyAlignment="1">
      <alignment vertical="center"/>
    </xf>
    <xf numFmtId="3" fontId="24" fillId="2" borderId="15" xfId="1" applyNumberFormat="1" applyFont="1" applyFill="1" applyBorder="1" applyAlignment="1">
      <alignment vertical="center"/>
    </xf>
    <xf numFmtId="3" fontId="5" fillId="2" borderId="39" xfId="1" applyNumberFormat="1" applyFont="1" applyFill="1" applyBorder="1" applyAlignment="1">
      <alignment vertical="center"/>
    </xf>
    <xf numFmtId="3" fontId="5" fillId="2" borderId="36" xfId="1" applyNumberFormat="1" applyFont="1" applyFill="1" applyBorder="1" applyAlignment="1">
      <alignment vertical="center"/>
    </xf>
    <xf numFmtId="0" fontId="4" fillId="2" borderId="42" xfId="1" applyFont="1" applyFill="1" applyBorder="1" applyAlignment="1">
      <alignment horizontal="center" vertical="center"/>
    </xf>
    <xf numFmtId="3" fontId="5" fillId="2" borderId="42" xfId="1" applyNumberFormat="1" applyFont="1" applyFill="1" applyBorder="1" applyAlignment="1">
      <alignment vertical="center"/>
    </xf>
    <xf numFmtId="3" fontId="24" fillId="3" borderId="10" xfId="1" applyNumberFormat="1" applyFont="1" applyFill="1" applyBorder="1" applyAlignment="1">
      <alignment vertical="center"/>
    </xf>
    <xf numFmtId="3" fontId="5" fillId="2" borderId="17" xfId="1" applyNumberFormat="1" applyFont="1" applyFill="1" applyBorder="1" applyAlignment="1">
      <alignment vertical="center"/>
    </xf>
    <xf numFmtId="3" fontId="24" fillId="2" borderId="5" xfId="1" applyNumberFormat="1" applyFont="1" applyFill="1" applyBorder="1" applyAlignment="1">
      <alignment vertical="center"/>
    </xf>
    <xf numFmtId="3" fontId="24" fillId="2" borderId="56" xfId="1" applyNumberFormat="1" applyFont="1" applyFill="1" applyBorder="1" applyAlignment="1">
      <alignment vertical="center"/>
    </xf>
    <xf numFmtId="3" fontId="24" fillId="3" borderId="0" xfId="1" applyNumberFormat="1" applyFont="1" applyFill="1" applyBorder="1" applyAlignment="1">
      <alignment vertical="center"/>
    </xf>
    <xf numFmtId="0" fontId="0" fillId="3" borderId="0" xfId="0" applyFill="1" applyBorder="1"/>
    <xf numFmtId="10" fontId="5" fillId="3" borderId="0" xfId="2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/>
    </xf>
    <xf numFmtId="3" fontId="5" fillId="3" borderId="36" xfId="1" applyNumberFormat="1" applyFont="1" applyFill="1" applyBorder="1" applyAlignment="1">
      <alignment vertical="center"/>
    </xf>
    <xf numFmtId="3" fontId="5" fillId="3" borderId="39" xfId="1" applyNumberFormat="1" applyFont="1" applyFill="1" applyBorder="1" applyAlignment="1">
      <alignment vertical="center"/>
    </xf>
    <xf numFmtId="3" fontId="5" fillId="3" borderId="42" xfId="1" applyNumberFormat="1" applyFont="1" applyFill="1" applyBorder="1" applyAlignment="1">
      <alignment vertical="center"/>
    </xf>
    <xf numFmtId="0" fontId="4" fillId="2" borderId="29" xfId="1" applyFont="1" applyFill="1" applyBorder="1" applyAlignment="1">
      <alignment horizontal="center" vertical="center"/>
    </xf>
    <xf numFmtId="3" fontId="5" fillId="2" borderId="52" xfId="1" applyNumberFormat="1" applyFont="1" applyFill="1" applyBorder="1" applyAlignment="1">
      <alignment vertical="center"/>
    </xf>
    <xf numFmtId="3" fontId="5" fillId="2" borderId="30" xfId="1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3" fontId="5" fillId="3" borderId="16" xfId="1" applyNumberFormat="1" applyFont="1" applyFill="1" applyBorder="1" applyAlignment="1">
      <alignment vertical="center"/>
    </xf>
    <xf numFmtId="3" fontId="5" fillId="3" borderId="0" xfId="1" applyNumberFormat="1" applyFont="1" applyFill="1" applyBorder="1" applyAlignment="1">
      <alignment vertical="center"/>
    </xf>
    <xf numFmtId="3" fontId="24" fillId="3" borderId="56" xfId="1" applyNumberFormat="1" applyFont="1" applyFill="1" applyBorder="1" applyAlignment="1">
      <alignment vertical="center"/>
    </xf>
    <xf numFmtId="0" fontId="4" fillId="3" borderId="28" xfId="1" applyFont="1" applyFill="1" applyBorder="1" applyAlignment="1">
      <alignment horizontal="center" vertical="center" wrapText="1"/>
    </xf>
    <xf numFmtId="3" fontId="5" fillId="3" borderId="17" xfId="1" applyNumberFormat="1" applyFont="1" applyFill="1" applyBorder="1" applyAlignment="1">
      <alignment vertical="center"/>
    </xf>
    <xf numFmtId="3" fontId="24" fillId="3" borderId="57" xfId="1" applyNumberFormat="1" applyFont="1" applyFill="1" applyBorder="1" applyAlignment="1">
      <alignment vertical="center"/>
    </xf>
    <xf numFmtId="3" fontId="24" fillId="8" borderId="1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0" fontId="4" fillId="3" borderId="15" xfId="1" applyFont="1" applyFill="1" applyBorder="1" applyAlignment="1">
      <alignment horizontal="center" vertical="center"/>
    </xf>
    <xf numFmtId="3" fontId="8" fillId="3" borderId="13" xfId="1" applyNumberFormat="1" applyFont="1" applyFill="1" applyBorder="1" applyAlignment="1">
      <alignment vertical="center"/>
    </xf>
    <xf numFmtId="10" fontId="5" fillId="3" borderId="13" xfId="2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vertical="center"/>
    </xf>
    <xf numFmtId="3" fontId="5" fillId="2" borderId="22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3" fontId="5" fillId="3" borderId="36" xfId="0" applyNumberFormat="1" applyFont="1" applyFill="1" applyBorder="1"/>
    <xf numFmtId="3" fontId="8" fillId="3" borderId="1" xfId="0" applyNumberFormat="1" applyFont="1" applyFill="1" applyBorder="1"/>
    <xf numFmtId="10" fontId="5" fillId="3" borderId="14" xfId="2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10" fontId="5" fillId="2" borderId="1" xfId="6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0" fillId="3" borderId="0" xfId="0" applyFill="1"/>
    <xf numFmtId="10" fontId="5" fillId="3" borderId="1" xfId="14" applyNumberFormat="1" applyFont="1" applyFill="1" applyBorder="1"/>
    <xf numFmtId="3" fontId="12" fillId="2" borderId="4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/>
    </xf>
    <xf numFmtId="3" fontId="5" fillId="3" borderId="1" xfId="0" applyNumberFormat="1" applyFont="1" applyFill="1" applyBorder="1"/>
    <xf numFmtId="0" fontId="5" fillId="3" borderId="0" xfId="0" applyFont="1" applyFill="1"/>
    <xf numFmtId="0" fontId="4" fillId="3" borderId="18" xfId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3" fontId="8" fillId="4" borderId="11" xfId="0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vertical="center"/>
    </xf>
    <xf numFmtId="3" fontId="11" fillId="4" borderId="11" xfId="0" applyNumberFormat="1" applyFont="1" applyFill="1" applyBorder="1" applyAlignment="1">
      <alignment vertical="center"/>
    </xf>
    <xf numFmtId="3" fontId="8" fillId="2" borderId="11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3" fontId="8" fillId="3" borderId="11" xfId="0" applyNumberFormat="1" applyFont="1" applyFill="1" applyBorder="1"/>
    <xf numFmtId="3" fontId="8" fillId="8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3" fontId="5" fillId="2" borderId="60" xfId="0" applyNumberFormat="1" applyFont="1" applyFill="1" applyBorder="1" applyAlignment="1">
      <alignment vertical="center"/>
    </xf>
    <xf numFmtId="3" fontId="5" fillId="8" borderId="38" xfId="0" applyNumberFormat="1" applyFont="1" applyFill="1" applyBorder="1" applyAlignment="1">
      <alignment vertical="center"/>
    </xf>
    <xf numFmtId="3" fontId="5" fillId="4" borderId="7" xfId="0" applyNumberFormat="1" applyFont="1" applyFill="1" applyBorder="1" applyAlignment="1">
      <alignment vertical="center"/>
    </xf>
    <xf numFmtId="3" fontId="5" fillId="2" borderId="7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5" fillId="3" borderId="7" xfId="0" applyNumberFormat="1" applyFont="1" applyFill="1" applyBorder="1"/>
    <xf numFmtId="0" fontId="4" fillId="2" borderId="0" xfId="0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3" fontId="5" fillId="2" borderId="25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166" fontId="5" fillId="3" borderId="36" xfId="13" applyNumberFormat="1" applyFont="1" applyFill="1" applyBorder="1"/>
    <xf numFmtId="2" fontId="5" fillId="3" borderId="36" xfId="13" applyNumberFormat="1" applyFont="1" applyFill="1" applyBorder="1"/>
    <xf numFmtId="1" fontId="5" fillId="3" borderId="36" xfId="13" applyNumberFormat="1" applyFont="1" applyFill="1" applyBorder="1"/>
    <xf numFmtId="166" fontId="8" fillId="3" borderId="1" xfId="13" applyNumberFormat="1" applyFont="1" applyFill="1" applyBorder="1"/>
    <xf numFmtId="3" fontId="5" fillId="3" borderId="16" xfId="0" applyNumberFormat="1" applyFont="1" applyFill="1" applyBorder="1" applyAlignment="1">
      <alignment vertical="center" wrapText="1"/>
    </xf>
    <xf numFmtId="3" fontId="5" fillId="3" borderId="36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10" fontId="5" fillId="2" borderId="12" xfId="6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vertical="center"/>
    </xf>
    <xf numFmtId="3" fontId="8" fillId="3" borderId="14" xfId="0" applyNumberFormat="1" applyFont="1" applyFill="1" applyBorder="1" applyAlignment="1">
      <alignment vertical="center"/>
    </xf>
    <xf numFmtId="3" fontId="5" fillId="3" borderId="39" xfId="0" applyNumberFormat="1" applyFont="1" applyFill="1" applyBorder="1"/>
    <xf numFmtId="3" fontId="5" fillId="3" borderId="61" xfId="0" applyNumberFormat="1" applyFont="1" applyFill="1" applyBorder="1"/>
    <xf numFmtId="3" fontId="5" fillId="3" borderId="61" xfId="0" applyNumberFormat="1" applyFont="1" applyFill="1" applyBorder="1" applyAlignment="1">
      <alignment vertical="center"/>
    </xf>
    <xf numFmtId="3" fontId="8" fillId="3" borderId="12" xfId="0" applyNumberFormat="1" applyFont="1" applyFill="1" applyBorder="1"/>
    <xf numFmtId="3" fontId="5" fillId="8" borderId="3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vertical="center" wrapText="1"/>
    </xf>
    <xf numFmtId="10" fontId="5" fillId="2" borderId="12" xfId="0" applyNumberFormat="1" applyFont="1" applyFill="1" applyBorder="1" applyAlignment="1">
      <alignment vertical="center" wrapText="1"/>
    </xf>
    <xf numFmtId="3" fontId="5" fillId="3" borderId="12" xfId="0" applyNumberFormat="1" applyFont="1" applyFill="1" applyBorder="1"/>
    <xf numFmtId="3" fontId="12" fillId="8" borderId="3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3" fontId="5" fillId="8" borderId="7" xfId="0" applyNumberFormat="1" applyFont="1" applyFill="1" applyBorder="1" applyAlignment="1">
      <alignment vertical="center"/>
    </xf>
    <xf numFmtId="164" fontId="5" fillId="3" borderId="13" xfId="6" applyNumberFormat="1" applyFont="1" applyFill="1" applyBorder="1" applyAlignment="1">
      <alignment vertical="center"/>
    </xf>
    <xf numFmtId="166" fontId="5" fillId="3" borderId="7" xfId="13" applyNumberFormat="1" applyFont="1" applyFill="1" applyBorder="1"/>
    <xf numFmtId="166" fontId="8" fillId="3" borderId="11" xfId="13" applyNumberFormat="1" applyFont="1" applyFill="1" applyBorder="1"/>
    <xf numFmtId="0" fontId="19" fillId="2" borderId="2" xfId="0" applyFont="1" applyFill="1" applyBorder="1" applyAlignment="1">
      <alignment horizontal="center" vertical="center"/>
    </xf>
    <xf numFmtId="2" fontId="5" fillId="3" borderId="7" xfId="13" applyNumberFormat="1" applyFont="1" applyFill="1" applyBorder="1"/>
    <xf numFmtId="1" fontId="5" fillId="3" borderId="7" xfId="13" applyNumberFormat="1" applyFont="1" applyFill="1" applyBorder="1"/>
    <xf numFmtId="3" fontId="5" fillId="3" borderId="1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vertical="center"/>
    </xf>
    <xf numFmtId="0" fontId="7" fillId="8" borderId="6" xfId="1" applyFont="1" applyFill="1" applyBorder="1" applyAlignment="1">
      <alignment horizontal="center" vertical="center" wrapText="1"/>
    </xf>
    <xf numFmtId="0" fontId="44" fillId="8" borderId="4" xfId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12" fillId="5" borderId="5" xfId="1" applyFont="1" applyFill="1" applyBorder="1" applyAlignment="1">
      <alignment horizontal="center" vertical="center" wrapText="1"/>
    </xf>
    <xf numFmtId="0" fontId="2" fillId="2" borderId="8" xfId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19" xfId="0" applyNumberFormat="1" applyFont="1" applyBorder="1" applyAlignment="1">
      <alignment horizont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8" fillId="2" borderId="12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5" fillId="0" borderId="44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wrapText="1"/>
    </xf>
    <xf numFmtId="0" fontId="8" fillId="2" borderId="18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44" fillId="8" borderId="2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2" fontId="5" fillId="0" borderId="5" xfId="0" applyNumberFormat="1" applyFont="1" applyBorder="1" applyAlignment="1">
      <alignment horizontal="center" wrapText="1"/>
    </xf>
    <xf numFmtId="2" fontId="5" fillId="0" borderId="56" xfId="0" applyNumberFormat="1" applyFont="1" applyBorder="1" applyAlignment="1">
      <alignment horizontal="center" wrapText="1"/>
    </xf>
    <xf numFmtId="2" fontId="5" fillId="0" borderId="57" xfId="0" applyNumberFormat="1" applyFont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4" fillId="8" borderId="5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/>
    </xf>
    <xf numFmtId="0" fontId="45" fillId="8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5" fillId="8" borderId="3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4" fillId="8" borderId="17" xfId="0" applyFont="1" applyFill="1" applyBorder="1" applyAlignment="1">
      <alignment horizontal="center" vertical="center" wrapText="1"/>
    </xf>
    <xf numFmtId="0" fontId="45" fillId="8" borderId="11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19" fillId="5" borderId="1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44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2" borderId="31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28" fillId="2" borderId="2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1" fillId="8" borderId="24" xfId="0" applyFont="1" applyFill="1" applyBorder="1" applyAlignment="1">
      <alignment horizontal="center" vertical="center" wrapText="1"/>
    </xf>
    <xf numFmtId="0" fontId="47" fillId="8" borderId="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4" fillId="8" borderId="10" xfId="0" applyFont="1" applyFill="1" applyBorder="1" applyAlignment="1">
      <alignment horizontal="right" vertical="center" wrapText="1"/>
    </xf>
    <xf numFmtId="0" fontId="35" fillId="8" borderId="20" xfId="0" applyFont="1" applyFill="1" applyBorder="1" applyAlignment="1">
      <alignment vertical="center" wrapText="1"/>
    </xf>
    <xf numFmtId="165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vertical="center" wrapText="1"/>
    </xf>
    <xf numFmtId="0" fontId="22" fillId="3" borderId="38" xfId="0" applyFont="1" applyFill="1" applyBorder="1" applyAlignment="1">
      <alignment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vertical="center" wrapText="1"/>
    </xf>
    <xf numFmtId="0" fontId="22" fillId="3" borderId="41" xfId="0" applyFont="1" applyFill="1" applyBorder="1" applyAlignment="1">
      <alignment vertical="center" wrapText="1"/>
    </xf>
    <xf numFmtId="2" fontId="38" fillId="0" borderId="0" xfId="0" applyNumberFormat="1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3" fontId="5" fillId="0" borderId="20" xfId="0" applyNumberFormat="1" applyFont="1" applyBorder="1" applyAlignment="1">
      <alignment vertical="center"/>
    </xf>
  </cellXfs>
  <cellStyles count="15">
    <cellStyle name="Comma" xfId="13" builtinId="3"/>
    <cellStyle name="Comma 2" xfId="8"/>
    <cellStyle name="Currency 2" xfId="9"/>
    <cellStyle name="Normal" xfId="0" builtinId="0"/>
    <cellStyle name="Normal 2" xfId="3"/>
    <cellStyle name="Normal 2 2" xfId="10"/>
    <cellStyle name="Normal 2 3" xfId="11"/>
    <cellStyle name="Normal 3" xfId="7"/>
    <cellStyle name="Normal 3 2" xfId="12"/>
    <cellStyle name="Normal 4" xfId="5"/>
    <cellStyle name="Normal 5" xfId="4"/>
    <cellStyle name="Normal 6" xfId="1"/>
    <cellStyle name="Percent" xfId="14" builtinId="5"/>
    <cellStyle name="Percent 2" xfId="6"/>
    <cellStyle name="Percent 3" xfId="2"/>
  </cellStyles>
  <dxfs count="0"/>
  <tableStyles count="0" defaultTableStyle="TableStyleMedium2" defaultPivotStyle="PivotStyleLight16"/>
  <colors>
    <mruColors>
      <color rgb="FFFFFFCC"/>
      <color rgb="FFF8F8F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kedonija%20Q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Q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Zoi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zivot%20Q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zivot%20Q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Viner%20zivot%20Q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zivot%20Q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zivot%20Q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PrvaZiv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SP%203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Q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roins%20Q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va%20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urolink%20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Q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Q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Osigpolisa%20Q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alk%20Q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4_NR"/>
      <sheetName val="STA_SP5_NR"/>
      <sheetName val="STA_SP8_NR"/>
      <sheetName val="STA_SP99"/>
    </sheetNames>
    <sheetDataSet>
      <sheetData sheetId="0" refreshError="1"/>
      <sheetData sheetId="1">
        <row r="10">
          <cell r="C10">
            <v>78274</v>
          </cell>
          <cell r="D10">
            <v>113172.23</v>
          </cell>
          <cell r="F10">
            <v>868</v>
          </cell>
          <cell r="G10">
            <v>45397.74</v>
          </cell>
          <cell r="H10">
            <v>197</v>
          </cell>
          <cell r="I10">
            <v>11181.3</v>
          </cell>
        </row>
        <row r="20">
          <cell r="C20">
            <v>969</v>
          </cell>
          <cell r="D20">
            <v>200238.8</v>
          </cell>
          <cell r="F20">
            <v>14718</v>
          </cell>
          <cell r="G20">
            <v>134371.34</v>
          </cell>
          <cell r="H20">
            <v>160</v>
          </cell>
          <cell r="I20">
            <v>2066.13</v>
          </cell>
        </row>
        <row r="24">
          <cell r="C24">
            <v>5444</v>
          </cell>
          <cell r="D24">
            <v>149561.49</v>
          </cell>
          <cell r="F24">
            <v>774</v>
          </cell>
          <cell r="G24">
            <v>73284.14</v>
          </cell>
          <cell r="H24">
            <v>335</v>
          </cell>
          <cell r="I24">
            <v>40337.01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6</v>
          </cell>
          <cell r="D33">
            <v>301.77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169</v>
          </cell>
          <cell r="D36">
            <v>23993.7</v>
          </cell>
          <cell r="F36">
            <v>4</v>
          </cell>
          <cell r="G36">
            <v>158.13</v>
          </cell>
          <cell r="H36">
            <v>4</v>
          </cell>
          <cell r="I36">
            <v>740.69</v>
          </cell>
        </row>
        <row r="40">
          <cell r="C40">
            <v>12179</v>
          </cell>
          <cell r="D40">
            <v>187470.06</v>
          </cell>
          <cell r="F40">
            <v>55</v>
          </cell>
          <cell r="G40">
            <v>66402.58</v>
          </cell>
          <cell r="H40">
            <v>49</v>
          </cell>
          <cell r="I40">
            <v>326422.59999999998</v>
          </cell>
        </row>
        <row r="56">
          <cell r="C56">
            <v>13336</v>
          </cell>
          <cell r="D56">
            <v>315359.5</v>
          </cell>
          <cell r="F56">
            <v>761</v>
          </cell>
          <cell r="G56">
            <v>58853.55</v>
          </cell>
          <cell r="H56">
            <v>257</v>
          </cell>
          <cell r="I56">
            <v>225496.19</v>
          </cell>
        </row>
        <row r="88">
          <cell r="C88">
            <v>116795</v>
          </cell>
          <cell r="D88">
            <v>666915.73</v>
          </cell>
          <cell r="F88">
            <v>3770</v>
          </cell>
          <cell r="G88">
            <v>314213.74</v>
          </cell>
          <cell r="H88">
            <v>1956</v>
          </cell>
          <cell r="I88">
            <v>338811.18</v>
          </cell>
        </row>
        <row r="124">
          <cell r="C124">
            <v>10</v>
          </cell>
          <cell r="D124">
            <v>54.19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194</v>
          </cell>
          <cell r="D128">
            <v>828.51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4738</v>
          </cell>
          <cell r="D132">
            <v>44385.08</v>
          </cell>
          <cell r="F132">
            <v>92</v>
          </cell>
          <cell r="G132">
            <v>4993.95</v>
          </cell>
          <cell r="H132">
            <v>104</v>
          </cell>
          <cell r="I132">
            <v>26928.84</v>
          </cell>
        </row>
        <row r="153">
          <cell r="C153">
            <v>1422</v>
          </cell>
          <cell r="D153">
            <v>11546.02</v>
          </cell>
          <cell r="F153">
            <v>2</v>
          </cell>
          <cell r="G153">
            <v>295.12</v>
          </cell>
          <cell r="H153">
            <v>1</v>
          </cell>
          <cell r="I153">
            <v>65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24</v>
          </cell>
          <cell r="D161">
            <v>10214.48</v>
          </cell>
          <cell r="F161">
            <v>23</v>
          </cell>
          <cell r="G161">
            <v>25.28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31521</v>
          </cell>
          <cell r="D170">
            <v>20763.16</v>
          </cell>
          <cell r="F170">
            <v>271</v>
          </cell>
          <cell r="G170">
            <v>6754.7</v>
          </cell>
          <cell r="H170">
            <v>177</v>
          </cell>
          <cell r="I170">
            <v>3102.81</v>
          </cell>
        </row>
        <row r="175">
          <cell r="C175">
            <v>175103</v>
          </cell>
        </row>
      </sheetData>
      <sheetData sheetId="2">
        <row r="11">
          <cell r="C11">
            <v>65970</v>
          </cell>
          <cell r="D11">
            <v>367044.28</v>
          </cell>
          <cell r="J11">
            <v>3094</v>
          </cell>
          <cell r="K11">
            <v>238060.67</v>
          </cell>
        </row>
        <row r="12">
          <cell r="C12">
            <v>7246</v>
          </cell>
          <cell r="D12">
            <v>86225.55</v>
          </cell>
          <cell r="J12">
            <v>372</v>
          </cell>
          <cell r="K12">
            <v>25322.080000000002</v>
          </cell>
        </row>
        <row r="13">
          <cell r="C13">
            <v>608</v>
          </cell>
          <cell r="D13">
            <v>13718.78</v>
          </cell>
          <cell r="J13">
            <v>39</v>
          </cell>
          <cell r="K13">
            <v>2213.61</v>
          </cell>
        </row>
        <row r="14">
          <cell r="C14">
            <v>1308</v>
          </cell>
          <cell r="D14">
            <v>921.78</v>
          </cell>
          <cell r="J14">
            <v>12</v>
          </cell>
          <cell r="K14">
            <v>378.7</v>
          </cell>
        </row>
        <row r="15">
          <cell r="C15">
            <v>116</v>
          </cell>
          <cell r="D15">
            <v>350.14</v>
          </cell>
          <cell r="J15">
            <v>2</v>
          </cell>
          <cell r="K15">
            <v>71.33</v>
          </cell>
        </row>
        <row r="16">
          <cell r="C16">
            <v>7204</v>
          </cell>
          <cell r="D16">
            <v>10941.49</v>
          </cell>
          <cell r="J16">
            <v>38</v>
          </cell>
          <cell r="K16">
            <v>2530.6999999999998</v>
          </cell>
        </row>
        <row r="17">
          <cell r="C17">
            <v>1814</v>
          </cell>
          <cell r="D17">
            <v>551.89</v>
          </cell>
          <cell r="J17">
            <v>0</v>
          </cell>
          <cell r="K17">
            <v>0.81</v>
          </cell>
        </row>
        <row r="18">
          <cell r="C18">
            <v>323</v>
          </cell>
          <cell r="D18">
            <v>1216.07</v>
          </cell>
          <cell r="J18">
            <v>19</v>
          </cell>
          <cell r="K18">
            <v>740.26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63</v>
          </cell>
          <cell r="D23">
            <v>281.77</v>
          </cell>
          <cell r="J23">
            <v>0</v>
          </cell>
          <cell r="K23">
            <v>0</v>
          </cell>
        </row>
        <row r="25">
          <cell r="C25">
            <v>28361</v>
          </cell>
          <cell r="D25">
            <v>136766.69</v>
          </cell>
          <cell r="J25">
            <v>61</v>
          </cell>
          <cell r="K25">
            <v>11595.82</v>
          </cell>
        </row>
        <row r="26">
          <cell r="C26">
            <v>1053</v>
          </cell>
          <cell r="D26">
            <v>17995.400000000001</v>
          </cell>
          <cell r="J26">
            <v>108</v>
          </cell>
          <cell r="K26">
            <v>29154.62</v>
          </cell>
        </row>
        <row r="27">
          <cell r="C27">
            <v>139</v>
          </cell>
          <cell r="D27">
            <v>2397.16</v>
          </cell>
          <cell r="J27">
            <v>7</v>
          </cell>
          <cell r="K27">
            <v>956.64</v>
          </cell>
        </row>
        <row r="28">
          <cell r="C28">
            <v>7</v>
          </cell>
          <cell r="D28">
            <v>38.75</v>
          </cell>
          <cell r="J28">
            <v>0</v>
          </cell>
          <cell r="K28">
            <v>0</v>
          </cell>
        </row>
        <row r="29">
          <cell r="C29">
            <v>27</v>
          </cell>
          <cell r="D29">
            <v>149.47</v>
          </cell>
          <cell r="J29">
            <v>0</v>
          </cell>
          <cell r="K29">
            <v>0</v>
          </cell>
        </row>
        <row r="30">
          <cell r="C30">
            <v>622</v>
          </cell>
          <cell r="D30">
            <v>1160.9000000000001</v>
          </cell>
          <cell r="J30">
            <v>0</v>
          </cell>
          <cell r="K30">
            <v>0</v>
          </cell>
        </row>
        <row r="31">
          <cell r="C31">
            <v>941</v>
          </cell>
          <cell r="D31">
            <v>5236.08</v>
          </cell>
          <cell r="J31">
            <v>3</v>
          </cell>
          <cell r="K31">
            <v>478.84</v>
          </cell>
        </row>
        <row r="32">
          <cell r="C32">
            <v>6</v>
          </cell>
          <cell r="D32">
            <v>33.520000000000003</v>
          </cell>
          <cell r="J32">
            <v>0</v>
          </cell>
          <cell r="K32">
            <v>0</v>
          </cell>
        </row>
        <row r="34">
          <cell r="C34">
            <v>487</v>
          </cell>
          <cell r="D34">
            <v>2643.41</v>
          </cell>
          <cell r="J34">
            <v>3</v>
          </cell>
          <cell r="K34">
            <v>312.89999999999998</v>
          </cell>
        </row>
        <row r="35">
          <cell r="C35">
            <v>13</v>
          </cell>
          <cell r="D35">
            <v>162.47</v>
          </cell>
          <cell r="J35">
            <v>0</v>
          </cell>
          <cell r="K35">
            <v>0</v>
          </cell>
        </row>
        <row r="36">
          <cell r="C36">
            <v>1</v>
          </cell>
          <cell r="D36">
            <v>17.89</v>
          </cell>
          <cell r="J36">
            <v>0</v>
          </cell>
          <cell r="K36">
            <v>0</v>
          </cell>
        </row>
        <row r="37">
          <cell r="C37">
            <v>2</v>
          </cell>
          <cell r="D37">
            <v>4.92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15</v>
          </cell>
          <cell r="D39">
            <v>77.67</v>
          </cell>
          <cell r="J39">
            <v>0</v>
          </cell>
          <cell r="K39">
            <v>0</v>
          </cell>
        </row>
        <row r="40">
          <cell r="C40">
            <v>28</v>
          </cell>
          <cell r="D40">
            <v>20.63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79220.56</v>
          </cell>
        </row>
        <row r="11">
          <cell r="P11">
            <v>140167.16</v>
          </cell>
        </row>
        <row r="12">
          <cell r="P12">
            <v>104693.04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196.15</v>
          </cell>
        </row>
        <row r="16">
          <cell r="P16">
            <v>14396.22</v>
          </cell>
        </row>
        <row r="17">
          <cell r="P17">
            <v>121855.54</v>
          </cell>
        </row>
        <row r="20">
          <cell r="P20">
            <v>204983.67999999999</v>
          </cell>
        </row>
        <row r="26">
          <cell r="P26">
            <v>509654.1</v>
          </cell>
        </row>
        <row r="33">
          <cell r="P33">
            <v>35.22</v>
          </cell>
        </row>
        <row r="34">
          <cell r="P34">
            <v>538.53</v>
          </cell>
        </row>
        <row r="35">
          <cell r="P35">
            <v>28850.29</v>
          </cell>
        </row>
        <row r="36">
          <cell r="P36">
            <v>7504.91</v>
          </cell>
        </row>
        <row r="37">
          <cell r="P37">
            <v>0</v>
          </cell>
        </row>
        <row r="38">
          <cell r="P38">
            <v>6639.41</v>
          </cell>
        </row>
        <row r="39">
          <cell r="P39">
            <v>0</v>
          </cell>
        </row>
        <row r="40">
          <cell r="P40">
            <v>11419.74</v>
          </cell>
        </row>
      </sheetData>
      <sheetData sheetId="5">
        <row r="10">
          <cell r="G10">
            <v>28175.58</v>
          </cell>
        </row>
        <row r="11">
          <cell r="G11">
            <v>12851.35</v>
          </cell>
        </row>
        <row r="12">
          <cell r="G12">
            <v>17703.849999999999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399.18</v>
          </cell>
        </row>
        <row r="17">
          <cell r="G17">
            <v>18902.080000000002</v>
          </cell>
        </row>
        <row r="20">
          <cell r="G20">
            <v>13057.75</v>
          </cell>
        </row>
        <row r="26">
          <cell r="G26">
            <v>315165.86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5840.79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559.84</v>
          </cell>
        </row>
        <row r="41">
          <cell r="C41">
            <v>1042655.79</v>
          </cell>
          <cell r="D41">
            <v>7652.69</v>
          </cell>
          <cell r="E41">
            <v>975151.75</v>
          </cell>
          <cell r="G41">
            <v>412656.29</v>
          </cell>
          <cell r="I41">
            <v>15265.82</v>
          </cell>
          <cell r="K41">
            <v>13583.78</v>
          </cell>
          <cell r="M41">
            <v>0</v>
          </cell>
        </row>
      </sheetData>
      <sheetData sheetId="6">
        <row r="9">
          <cell r="C9">
            <v>9206</v>
          </cell>
          <cell r="D9">
            <v>157132.95000000001</v>
          </cell>
        </row>
        <row r="18">
          <cell r="C18">
            <v>20663</v>
          </cell>
          <cell r="D18">
            <v>400288.4</v>
          </cell>
          <cell r="E18">
            <v>81677.52</v>
          </cell>
        </row>
        <row r="19">
          <cell r="C19">
            <v>52261</v>
          </cell>
          <cell r="D19">
            <v>580660.06000000006</v>
          </cell>
          <cell r="E19">
            <v>120394.91</v>
          </cell>
        </row>
        <row r="20">
          <cell r="C20">
            <v>1684</v>
          </cell>
          <cell r="D20">
            <v>589.03</v>
          </cell>
          <cell r="E20">
            <v>176.65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3230</v>
          </cell>
          <cell r="D22">
            <v>51537.94</v>
          </cell>
          <cell r="E22">
            <v>10889.57</v>
          </cell>
        </row>
        <row r="29">
          <cell r="C29">
            <v>88059</v>
          </cell>
          <cell r="D29">
            <v>554596.28</v>
          </cell>
          <cell r="E29">
            <v>151491.09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99528</v>
          </cell>
          <cell r="D10">
            <v>113284</v>
          </cell>
          <cell r="F10">
            <v>1110</v>
          </cell>
          <cell r="G10">
            <v>69244</v>
          </cell>
          <cell r="H10">
            <v>320</v>
          </cell>
          <cell r="I10">
            <v>7737</v>
          </cell>
        </row>
        <row r="20">
          <cell r="C20">
            <v>1752</v>
          </cell>
          <cell r="D20">
            <v>244785</v>
          </cell>
          <cell r="F20">
            <v>12754</v>
          </cell>
          <cell r="G20">
            <v>117210</v>
          </cell>
          <cell r="H20">
            <v>754</v>
          </cell>
          <cell r="I20">
            <v>11305</v>
          </cell>
        </row>
        <row r="24">
          <cell r="C24">
            <v>3504</v>
          </cell>
          <cell r="D24">
            <v>101496</v>
          </cell>
          <cell r="F24">
            <v>526</v>
          </cell>
          <cell r="G24">
            <v>46793</v>
          </cell>
          <cell r="H24">
            <v>405</v>
          </cell>
          <cell r="I24">
            <v>34054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1</v>
          </cell>
          <cell r="D30">
            <v>1018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19</v>
          </cell>
          <cell r="D36">
            <v>3046</v>
          </cell>
          <cell r="F36">
            <v>1</v>
          </cell>
          <cell r="G36">
            <v>744</v>
          </cell>
          <cell r="H36">
            <v>2</v>
          </cell>
          <cell r="I36">
            <v>159</v>
          </cell>
        </row>
        <row r="40">
          <cell r="C40">
            <v>17285</v>
          </cell>
          <cell r="D40">
            <v>59763</v>
          </cell>
          <cell r="F40">
            <v>24</v>
          </cell>
          <cell r="G40">
            <v>3003</v>
          </cell>
          <cell r="H40">
            <v>28</v>
          </cell>
          <cell r="I40">
            <v>42856</v>
          </cell>
        </row>
        <row r="56">
          <cell r="C56">
            <v>15590</v>
          </cell>
          <cell r="D56">
            <v>81454</v>
          </cell>
          <cell r="F56">
            <v>211</v>
          </cell>
          <cell r="G56">
            <v>10216</v>
          </cell>
          <cell r="H56">
            <v>94</v>
          </cell>
          <cell r="I56">
            <v>46152</v>
          </cell>
        </row>
        <row r="88">
          <cell r="C88">
            <v>99660</v>
          </cell>
          <cell r="D88">
            <v>520273</v>
          </cell>
          <cell r="F88">
            <v>2323</v>
          </cell>
          <cell r="G88">
            <v>163847</v>
          </cell>
          <cell r="H88">
            <v>1381</v>
          </cell>
          <cell r="I88">
            <v>245953</v>
          </cell>
        </row>
        <row r="124">
          <cell r="C124">
            <v>2</v>
          </cell>
          <cell r="D124">
            <v>567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50</v>
          </cell>
          <cell r="D128">
            <v>232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15336</v>
          </cell>
          <cell r="D132">
            <v>15995</v>
          </cell>
          <cell r="F132">
            <v>16</v>
          </cell>
          <cell r="G132">
            <v>966</v>
          </cell>
          <cell r="H132">
            <v>8</v>
          </cell>
          <cell r="I132">
            <v>245</v>
          </cell>
        </row>
        <row r="153">
          <cell r="C153">
            <v>591</v>
          </cell>
          <cell r="D153">
            <v>3800</v>
          </cell>
          <cell r="F153">
            <v>1</v>
          </cell>
          <cell r="G153">
            <v>9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15</v>
          </cell>
          <cell r="D161">
            <v>810</v>
          </cell>
          <cell r="F161">
            <v>0</v>
          </cell>
          <cell r="G161">
            <v>0</v>
          </cell>
          <cell r="H161">
            <v>1</v>
          </cell>
          <cell r="I161">
            <v>800</v>
          </cell>
        </row>
        <row r="167">
          <cell r="C167">
            <v>1</v>
          </cell>
          <cell r="D167">
            <v>1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34439</v>
          </cell>
          <cell r="D170">
            <v>25319</v>
          </cell>
          <cell r="F170">
            <v>261</v>
          </cell>
          <cell r="G170">
            <v>4202</v>
          </cell>
          <cell r="H170">
            <v>259</v>
          </cell>
          <cell r="I170">
            <v>4816</v>
          </cell>
        </row>
        <row r="175">
          <cell r="C175">
            <v>194425</v>
          </cell>
        </row>
      </sheetData>
      <sheetData sheetId="2">
        <row r="11">
          <cell r="C11">
            <v>57089</v>
          </cell>
          <cell r="D11">
            <v>319363</v>
          </cell>
          <cell r="J11">
            <v>1972</v>
          </cell>
          <cell r="K11">
            <v>129337</v>
          </cell>
        </row>
        <row r="12">
          <cell r="C12">
            <v>4750</v>
          </cell>
          <cell r="D12">
            <v>47778</v>
          </cell>
          <cell r="J12">
            <v>200</v>
          </cell>
          <cell r="K12">
            <v>10423</v>
          </cell>
        </row>
        <row r="13">
          <cell r="C13">
            <v>149</v>
          </cell>
          <cell r="D13">
            <v>3166</v>
          </cell>
          <cell r="J13">
            <v>9</v>
          </cell>
          <cell r="K13">
            <v>574</v>
          </cell>
        </row>
        <row r="14">
          <cell r="C14">
            <v>1062</v>
          </cell>
          <cell r="D14">
            <v>888</v>
          </cell>
          <cell r="J14">
            <v>7</v>
          </cell>
          <cell r="K14">
            <v>343</v>
          </cell>
        </row>
        <row r="15">
          <cell r="C15">
            <v>42</v>
          </cell>
          <cell r="D15">
            <v>140</v>
          </cell>
          <cell r="J15">
            <v>1</v>
          </cell>
          <cell r="K15">
            <v>18</v>
          </cell>
        </row>
        <row r="16">
          <cell r="C16">
            <v>7992</v>
          </cell>
          <cell r="D16">
            <v>13399</v>
          </cell>
          <cell r="J16">
            <v>45</v>
          </cell>
          <cell r="K16">
            <v>3301</v>
          </cell>
        </row>
        <row r="17">
          <cell r="C17">
            <v>1165</v>
          </cell>
          <cell r="D17">
            <v>358</v>
          </cell>
          <cell r="J17">
            <v>2</v>
          </cell>
          <cell r="K17">
            <v>62</v>
          </cell>
        </row>
        <row r="18">
          <cell r="C18">
            <v>125</v>
          </cell>
          <cell r="D18">
            <v>536</v>
          </cell>
          <cell r="J18">
            <v>8</v>
          </cell>
          <cell r="K18">
            <v>181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2</v>
          </cell>
          <cell r="D23">
            <v>8</v>
          </cell>
          <cell r="J23">
            <v>0</v>
          </cell>
          <cell r="K23">
            <v>0</v>
          </cell>
        </row>
        <row r="25">
          <cell r="C25">
            <v>24829</v>
          </cell>
          <cell r="D25">
            <v>110783</v>
          </cell>
          <cell r="J25">
            <v>36</v>
          </cell>
          <cell r="K25">
            <v>7328</v>
          </cell>
        </row>
        <row r="26">
          <cell r="C26">
            <v>709</v>
          </cell>
          <cell r="D26">
            <v>11156</v>
          </cell>
          <cell r="J26">
            <v>36</v>
          </cell>
          <cell r="K26">
            <v>9337</v>
          </cell>
        </row>
        <row r="27">
          <cell r="C27">
            <v>44</v>
          </cell>
          <cell r="D27">
            <v>741</v>
          </cell>
          <cell r="J27">
            <v>2</v>
          </cell>
          <cell r="K27">
            <v>1765</v>
          </cell>
        </row>
        <row r="28">
          <cell r="C28">
            <v>4</v>
          </cell>
          <cell r="D28">
            <v>27</v>
          </cell>
          <cell r="J28">
            <v>0</v>
          </cell>
          <cell r="K28">
            <v>0</v>
          </cell>
        </row>
        <row r="29">
          <cell r="C29">
            <v>15</v>
          </cell>
          <cell r="D29">
            <v>84</v>
          </cell>
          <cell r="J29">
            <v>0</v>
          </cell>
          <cell r="K29">
            <v>0</v>
          </cell>
        </row>
        <row r="30">
          <cell r="C30">
            <v>660</v>
          </cell>
          <cell r="D30">
            <v>1171</v>
          </cell>
          <cell r="J30">
            <v>0</v>
          </cell>
          <cell r="K30">
            <v>0</v>
          </cell>
        </row>
        <row r="31">
          <cell r="C31">
            <v>617</v>
          </cell>
          <cell r="D31">
            <v>3175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164</v>
          </cell>
          <cell r="D34">
            <v>961</v>
          </cell>
          <cell r="J34">
            <v>0</v>
          </cell>
          <cell r="K34">
            <v>0</v>
          </cell>
        </row>
        <row r="35">
          <cell r="C35">
            <v>3</v>
          </cell>
          <cell r="D35">
            <v>44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8</v>
          </cell>
          <cell r="D39">
            <v>50</v>
          </cell>
          <cell r="J39">
            <v>0</v>
          </cell>
          <cell r="K39">
            <v>0</v>
          </cell>
        </row>
        <row r="40">
          <cell r="C40">
            <v>6</v>
          </cell>
          <cell r="D40">
            <v>9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79299</v>
          </cell>
        </row>
        <row r="11">
          <cell r="P11">
            <v>171350</v>
          </cell>
        </row>
        <row r="12">
          <cell r="P12">
            <v>71047</v>
          </cell>
        </row>
        <row r="13">
          <cell r="P13">
            <v>0</v>
          </cell>
        </row>
        <row r="14">
          <cell r="P14">
            <v>713</v>
          </cell>
        </row>
        <row r="15">
          <cell r="P15">
            <v>0</v>
          </cell>
        </row>
        <row r="16">
          <cell r="P16">
            <v>2132</v>
          </cell>
        </row>
        <row r="17">
          <cell r="P17">
            <v>41834</v>
          </cell>
        </row>
        <row r="20">
          <cell r="P20">
            <v>57018</v>
          </cell>
        </row>
        <row r="26">
          <cell r="P26">
            <v>400163</v>
          </cell>
        </row>
        <row r="33">
          <cell r="P33">
            <v>454</v>
          </cell>
        </row>
        <row r="34">
          <cell r="P34">
            <v>162</v>
          </cell>
        </row>
        <row r="35">
          <cell r="P35">
            <v>11197</v>
          </cell>
        </row>
        <row r="36">
          <cell r="P36">
            <v>1938</v>
          </cell>
        </row>
        <row r="37">
          <cell r="P37">
            <v>0</v>
          </cell>
        </row>
        <row r="38">
          <cell r="P38">
            <v>527</v>
          </cell>
        </row>
        <row r="39">
          <cell r="P39">
            <v>1</v>
          </cell>
        </row>
        <row r="40">
          <cell r="P40">
            <v>13925</v>
          </cell>
        </row>
      </sheetData>
      <sheetData sheetId="5">
        <row r="10">
          <cell r="G10">
            <v>35464</v>
          </cell>
        </row>
        <row r="11">
          <cell r="G11">
            <v>10991</v>
          </cell>
        </row>
        <row r="12">
          <cell r="G12">
            <v>10926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1543</v>
          </cell>
        </row>
        <row r="17">
          <cell r="G17">
            <v>3605</v>
          </cell>
        </row>
        <row r="20">
          <cell r="G20">
            <v>2250</v>
          </cell>
        </row>
        <row r="26">
          <cell r="G26">
            <v>353522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851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2564</v>
          </cell>
        </row>
        <row r="41">
          <cell r="C41">
            <v>715960</v>
          </cell>
          <cell r="D41">
            <v>8981</v>
          </cell>
          <cell r="E41">
            <v>394077</v>
          </cell>
          <cell r="G41">
            <v>421716</v>
          </cell>
          <cell r="I41">
            <v>15784</v>
          </cell>
          <cell r="K41">
            <v>9014</v>
          </cell>
          <cell r="M41">
            <v>0</v>
          </cell>
        </row>
      </sheetData>
      <sheetData sheetId="6">
        <row r="9">
          <cell r="C9">
            <v>79314</v>
          </cell>
          <cell r="D9">
            <v>629996</v>
          </cell>
        </row>
        <row r="18">
          <cell r="C18">
            <v>55957</v>
          </cell>
          <cell r="D18">
            <v>397889</v>
          </cell>
          <cell r="E18">
            <v>113175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328</v>
          </cell>
          <cell r="D20">
            <v>617</v>
          </cell>
          <cell r="E20">
            <v>211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54128</v>
          </cell>
          <cell r="D22">
            <v>71889</v>
          </cell>
          <cell r="E22">
            <v>28028</v>
          </cell>
        </row>
        <row r="29">
          <cell r="C29">
            <v>3910</v>
          </cell>
          <cell r="D29">
            <v>58908</v>
          </cell>
          <cell r="E29">
            <v>35892.629999999997</v>
          </cell>
        </row>
        <row r="38">
          <cell r="C38">
            <v>788</v>
          </cell>
          <cell r="D38">
            <v>12544</v>
          </cell>
          <cell r="E38">
            <v>3247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VS_VS1_NO"/>
      <sheetName val="VS_VS2"/>
      <sheetName val="SUP_MS_NO"/>
      <sheetName val="SUP_KS"/>
      <sheetName val="SUP_VTR"/>
      <sheetName val="RR_REO_01 - #1"/>
      <sheetName val="RR_REO_02"/>
      <sheetName val="RR_REO_03"/>
      <sheetName val="RR_REO_04"/>
      <sheetName val="DEC_SP - #1"/>
      <sheetName val="DEC_SP - #2"/>
      <sheetName val="DEC_SP - #3"/>
      <sheetName val="DEC_SP - #4"/>
      <sheetName val="DEC_SP - #5"/>
      <sheetName val="DEC_SP - #6"/>
    </sheetNames>
    <sheetDataSet>
      <sheetData sheetId="0" refreshError="1"/>
      <sheetData sheetId="1">
        <row r="10">
          <cell r="C10">
            <v>4182</v>
          </cell>
          <cell r="D10">
            <v>1093.1400000000001</v>
          </cell>
          <cell r="F10">
            <v>5</v>
          </cell>
          <cell r="G10">
            <v>346</v>
          </cell>
          <cell r="H10">
            <v>4</v>
          </cell>
          <cell r="I10">
            <v>164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127</v>
          </cell>
          <cell r="D24">
            <v>4129.3500000000004</v>
          </cell>
          <cell r="F24">
            <v>18</v>
          </cell>
          <cell r="G24">
            <v>2882.87</v>
          </cell>
          <cell r="H24">
            <v>7</v>
          </cell>
          <cell r="I24">
            <v>470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30</v>
          </cell>
          <cell r="D40">
            <v>136.37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56">
          <cell r="C56">
            <v>22</v>
          </cell>
          <cell r="D56">
            <v>89.63</v>
          </cell>
          <cell r="F56">
            <v>4</v>
          </cell>
          <cell r="G56">
            <v>72.67</v>
          </cell>
          <cell r="H56">
            <v>0</v>
          </cell>
          <cell r="I56">
            <v>0</v>
          </cell>
        </row>
        <row r="88">
          <cell r="C88">
            <v>7175</v>
          </cell>
          <cell r="D88">
            <v>37747.57</v>
          </cell>
          <cell r="F88">
            <v>185</v>
          </cell>
          <cell r="G88">
            <v>12053.44</v>
          </cell>
          <cell r="H88">
            <v>90</v>
          </cell>
          <cell r="I88">
            <v>6377.19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22</v>
          </cell>
          <cell r="D132">
            <v>50.18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186</v>
          </cell>
          <cell r="D170">
            <v>215.23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5">
          <cell r="C175">
            <v>7521</v>
          </cell>
        </row>
      </sheetData>
      <sheetData sheetId="2">
        <row r="11">
          <cell r="C11">
            <v>3976</v>
          </cell>
          <cell r="D11">
            <v>22989.51</v>
          </cell>
          <cell r="J11">
            <v>149</v>
          </cell>
          <cell r="K11">
            <v>9881.42</v>
          </cell>
        </row>
        <row r="12">
          <cell r="C12">
            <v>362</v>
          </cell>
          <cell r="D12">
            <v>3798.51</v>
          </cell>
          <cell r="J12">
            <v>28</v>
          </cell>
          <cell r="K12">
            <v>1735.61</v>
          </cell>
        </row>
        <row r="13">
          <cell r="C13">
            <v>11</v>
          </cell>
          <cell r="D13">
            <v>229.25</v>
          </cell>
          <cell r="J13">
            <v>1</v>
          </cell>
          <cell r="K13">
            <v>55.08</v>
          </cell>
        </row>
        <row r="14">
          <cell r="C14">
            <v>64</v>
          </cell>
          <cell r="D14">
            <v>54.71</v>
          </cell>
          <cell r="J14">
            <v>0</v>
          </cell>
          <cell r="K14">
            <v>0</v>
          </cell>
        </row>
        <row r="15">
          <cell r="C15">
            <v>1</v>
          </cell>
          <cell r="D15">
            <v>4.24</v>
          </cell>
          <cell r="J15">
            <v>0</v>
          </cell>
          <cell r="K15">
            <v>0</v>
          </cell>
        </row>
        <row r="16">
          <cell r="C16">
            <v>79</v>
          </cell>
          <cell r="D16">
            <v>156.12</v>
          </cell>
          <cell r="J16">
            <v>1</v>
          </cell>
          <cell r="K16">
            <v>12.92</v>
          </cell>
        </row>
        <row r="17">
          <cell r="C17">
            <v>82</v>
          </cell>
          <cell r="D17">
            <v>25.81</v>
          </cell>
          <cell r="J17">
            <v>0</v>
          </cell>
          <cell r="K17">
            <v>0</v>
          </cell>
        </row>
        <row r="18">
          <cell r="C18">
            <v>10</v>
          </cell>
          <cell r="D18">
            <v>30.52</v>
          </cell>
          <cell r="J18">
            <v>1</v>
          </cell>
          <cell r="K18">
            <v>10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172</v>
          </cell>
          <cell r="D21">
            <v>38.659999999999997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1447</v>
          </cell>
          <cell r="D25">
            <v>6512.26</v>
          </cell>
          <cell r="J25">
            <v>4</v>
          </cell>
          <cell r="K25">
            <v>198.97</v>
          </cell>
        </row>
        <row r="26">
          <cell r="C26">
            <v>57</v>
          </cell>
          <cell r="D26">
            <v>912.77</v>
          </cell>
          <cell r="J26">
            <v>1</v>
          </cell>
          <cell r="K26">
            <v>159.44</v>
          </cell>
        </row>
        <row r="27">
          <cell r="C27">
            <v>1</v>
          </cell>
          <cell r="D27">
            <v>0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18</v>
          </cell>
          <cell r="D30">
            <v>33.299999999999997</v>
          </cell>
          <cell r="J30">
            <v>0</v>
          </cell>
          <cell r="K30">
            <v>0</v>
          </cell>
        </row>
        <row r="31">
          <cell r="C31">
            <v>49</v>
          </cell>
          <cell r="D31">
            <v>271.26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716</v>
          </cell>
          <cell r="D34">
            <v>2263.1999999999998</v>
          </cell>
          <cell r="J34">
            <v>0</v>
          </cell>
          <cell r="K34">
            <v>0</v>
          </cell>
        </row>
        <row r="35">
          <cell r="C35">
            <v>1</v>
          </cell>
          <cell r="D35">
            <v>7.38</v>
          </cell>
          <cell r="J35">
            <v>0</v>
          </cell>
          <cell r="K35">
            <v>0</v>
          </cell>
        </row>
        <row r="36">
          <cell r="C36">
            <v>1</v>
          </cell>
          <cell r="D36">
            <v>17.829999999999998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0.62</v>
          </cell>
          <cell r="J37">
            <v>0</v>
          </cell>
          <cell r="K37">
            <v>0</v>
          </cell>
        </row>
        <row r="38">
          <cell r="C38">
            <v>1</v>
          </cell>
          <cell r="D38">
            <v>2.46</v>
          </cell>
          <cell r="J38">
            <v>0</v>
          </cell>
          <cell r="K38">
            <v>0</v>
          </cell>
        </row>
        <row r="39">
          <cell r="C39">
            <v>101</v>
          </cell>
          <cell r="D39">
            <v>310.57</v>
          </cell>
          <cell r="J39">
            <v>0</v>
          </cell>
          <cell r="K39">
            <v>0</v>
          </cell>
        </row>
        <row r="40">
          <cell r="C40">
            <v>21</v>
          </cell>
          <cell r="D40">
            <v>12.92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894.07</v>
          </cell>
        </row>
        <row r="11">
          <cell r="P11">
            <v>0</v>
          </cell>
        </row>
        <row r="12">
          <cell r="P12">
            <v>3016.72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100.1</v>
          </cell>
        </row>
        <row r="20">
          <cell r="P20">
            <v>64.12</v>
          </cell>
        </row>
        <row r="26">
          <cell r="P26">
            <v>29036.7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40.76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148.44</v>
          </cell>
        </row>
      </sheetData>
      <sheetData sheetId="5">
        <row r="10">
          <cell r="G10">
            <v>865.12</v>
          </cell>
        </row>
        <row r="11">
          <cell r="G11">
            <v>0</v>
          </cell>
        </row>
        <row r="12">
          <cell r="G12">
            <v>6711.52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234.77</v>
          </cell>
        </row>
        <row r="20">
          <cell r="G20">
            <v>95.55</v>
          </cell>
        </row>
        <row r="26">
          <cell r="G26">
            <v>22354.23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23.84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165.4</v>
          </cell>
        </row>
        <row r="41">
          <cell r="C41">
            <v>23373.99</v>
          </cell>
          <cell r="D41">
            <v>0</v>
          </cell>
          <cell r="E41">
            <v>7011.19</v>
          </cell>
          <cell r="G41">
            <v>30450.43</v>
          </cell>
          <cell r="I41">
            <v>187.31</v>
          </cell>
          <cell r="K41">
            <v>0</v>
          </cell>
          <cell r="M41">
            <v>0</v>
          </cell>
        </row>
      </sheetData>
      <sheetData sheetId="6">
        <row r="9">
          <cell r="C9">
            <v>162</v>
          </cell>
          <cell r="D9">
            <v>836.73</v>
          </cell>
        </row>
        <row r="18">
          <cell r="C18">
            <v>4035</v>
          </cell>
          <cell r="D18">
            <v>27265.73</v>
          </cell>
          <cell r="E18">
            <v>1292.9100000000001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VU_MR - #2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4177</v>
          </cell>
          <cell r="J51">
            <v>658893</v>
          </cell>
          <cell r="Q51">
            <v>427896</v>
          </cell>
        </row>
      </sheetData>
      <sheetData sheetId="2">
        <row r="51">
          <cell r="G51">
            <v>113</v>
          </cell>
          <cell r="H51">
            <v>179</v>
          </cell>
          <cell r="L51">
            <v>1803</v>
          </cell>
          <cell r="N51">
            <v>212</v>
          </cell>
          <cell r="O51">
            <v>359249</v>
          </cell>
        </row>
      </sheetData>
      <sheetData sheetId="3"/>
      <sheetData sheetId="4"/>
      <sheetData sheetId="5">
        <row r="51">
          <cell r="C51">
            <v>18745</v>
          </cell>
          <cell r="D51">
            <v>3707948</v>
          </cell>
          <cell r="E51">
            <v>438448</v>
          </cell>
          <cell r="F51">
            <v>0</v>
          </cell>
          <cell r="G51">
            <v>25576</v>
          </cell>
          <cell r="H51">
            <v>5953</v>
          </cell>
          <cell r="J51">
            <v>743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SUPFIN_SVlPR"/>
      <sheetName val="VS_VS1_ZO"/>
      <sheetName val="VS_VS2"/>
      <sheetName val="SUP_MS_ZO"/>
      <sheetName val="SUP_KS"/>
      <sheetName val="SUP_VTR"/>
      <sheetName val="SUP_VMR - #1"/>
      <sheetName val="RR_REO_01 - #1"/>
      <sheetName val="DEC_SP - #1"/>
      <sheetName val="DEC_SP - #2"/>
      <sheetName val="DEC_SP - #3"/>
      <sheetName val="DEC_SP - #4"/>
      <sheetName val="DEC_SP - #5"/>
      <sheetName val="DEC_SP - #6"/>
      <sheetName val="TableOfContents"/>
    </sheetNames>
    <sheetDataSet>
      <sheetData sheetId="0"/>
      <sheetData sheetId="1">
        <row r="51">
          <cell r="I51">
            <v>1092</v>
          </cell>
          <cell r="J51">
            <v>364146</v>
          </cell>
          <cell r="Q51">
            <v>290386</v>
          </cell>
        </row>
      </sheetData>
      <sheetData sheetId="2">
        <row r="51">
          <cell r="G51">
            <v>159</v>
          </cell>
          <cell r="H51">
            <v>92</v>
          </cell>
          <cell r="L51">
            <v>852</v>
          </cell>
          <cell r="N51">
            <v>288</v>
          </cell>
          <cell r="O51">
            <v>179596</v>
          </cell>
        </row>
      </sheetData>
      <sheetData sheetId="3"/>
      <sheetData sheetId="4"/>
      <sheetData sheetId="5">
        <row r="51">
          <cell r="C51">
            <v>11783</v>
          </cell>
          <cell r="D51">
            <v>3360145</v>
          </cell>
          <cell r="E51">
            <v>159578</v>
          </cell>
          <cell r="F51">
            <v>113445</v>
          </cell>
          <cell r="G51">
            <v>45786</v>
          </cell>
          <cell r="H51">
            <v>10235</v>
          </cell>
          <cell r="J51">
            <v>727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ZO"/>
      <sheetName val="STA_SP2_ZO"/>
      <sheetName val="STA_SP2_RS_ZO"/>
      <sheetName val="STA_SP3_ZO"/>
      <sheetName val="STA_SP4_ZO"/>
      <sheetName val="STA_SP4_VU_MR - 807"/>
      <sheetName val="STA_SP4_VU_MR - 978"/>
      <sheetName val="STA_SP4_RS_ZO"/>
      <sheetName val="STA_SP6_ZO"/>
      <sheetName val="STA_SP7_ZO"/>
      <sheetName val="STA_SP8_ZO"/>
      <sheetName val="STA_SP99"/>
      <sheetName val="TableOfContents"/>
      <sheetName val="Header"/>
      <sheetName val="FIN_BS"/>
      <sheetName val="DEC_SP - FI"/>
      <sheetName val="DEC_SP - RI"/>
      <sheetName val="DEC_SP - SI"/>
      <sheetName val="DEC_SP - SP"/>
      <sheetName val="DEC_SP - VBS"/>
      <sheetName val="DEC_SP - DFI"/>
    </sheetNames>
    <sheetDataSet>
      <sheetData sheetId="0">
        <row r="51">
          <cell r="I51">
            <v>1618</v>
          </cell>
          <cell r="J51">
            <v>459804</v>
          </cell>
          <cell r="Q51">
            <v>367990</v>
          </cell>
        </row>
      </sheetData>
      <sheetData sheetId="1">
        <row r="51">
          <cell r="G51">
            <v>27</v>
          </cell>
          <cell r="H51">
            <v>3</v>
          </cell>
          <cell r="L51">
            <v>561</v>
          </cell>
          <cell r="O51">
            <v>108025</v>
          </cell>
        </row>
      </sheetData>
      <sheetData sheetId="2"/>
      <sheetData sheetId="3"/>
      <sheetData sheetId="4">
        <row r="51">
          <cell r="C51">
            <v>5083</v>
          </cell>
          <cell r="D51">
            <v>784693</v>
          </cell>
          <cell r="E51">
            <v>1230742</v>
          </cell>
          <cell r="F51">
            <v>0</v>
          </cell>
          <cell r="G51">
            <v>6496</v>
          </cell>
          <cell r="H51">
            <v>14284</v>
          </cell>
          <cell r="J51">
            <v>3438.19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ZO"/>
      <sheetName val="STA_SP2_ZO"/>
      <sheetName val="STA_SP2_RS_ZO"/>
      <sheetName val="STA_SP3_ZO"/>
      <sheetName val="STA_SP4_ZO"/>
      <sheetName val="STA_SP4_VU_MR - 978"/>
      <sheetName val="STA_SP4_VU_MR - 807"/>
      <sheetName val="STA_SP4_RS_ZO"/>
      <sheetName val="STA_SP6_ZO"/>
      <sheetName val="STA_SP7_ZO"/>
      <sheetName val="STA_SP8_ZO"/>
      <sheetName val="STA_SP99"/>
      <sheetName val="Header"/>
    </sheetNames>
    <sheetDataSet>
      <sheetData sheetId="0">
        <row r="51">
          <cell r="I51">
            <v>11118</v>
          </cell>
          <cell r="J51">
            <v>232984</v>
          </cell>
          <cell r="Q51">
            <v>189061</v>
          </cell>
        </row>
      </sheetData>
      <sheetData sheetId="1">
        <row r="51">
          <cell r="G51">
            <v>16</v>
          </cell>
          <cell r="H51">
            <v>19</v>
          </cell>
          <cell r="L51">
            <v>350</v>
          </cell>
          <cell r="N51">
            <v>86</v>
          </cell>
          <cell r="O51">
            <v>55069</v>
          </cell>
        </row>
      </sheetData>
      <sheetData sheetId="2"/>
      <sheetData sheetId="3"/>
      <sheetData sheetId="4">
        <row r="51">
          <cell r="C51">
            <v>6132</v>
          </cell>
          <cell r="D51">
            <v>568510</v>
          </cell>
          <cell r="E51">
            <v>400842</v>
          </cell>
          <cell r="F51">
            <v>0</v>
          </cell>
          <cell r="G51">
            <v>7270</v>
          </cell>
          <cell r="H51">
            <v>2179</v>
          </cell>
          <cell r="J51">
            <v>1050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4530</v>
          </cell>
          <cell r="J51">
            <v>525038.92000000004</v>
          </cell>
          <cell r="Q51">
            <v>427479.45</v>
          </cell>
        </row>
      </sheetData>
      <sheetData sheetId="2">
        <row r="51">
          <cell r="G51">
            <v>13</v>
          </cell>
          <cell r="H51">
            <v>0</v>
          </cell>
          <cell r="L51">
            <v>456</v>
          </cell>
          <cell r="N51">
            <v>0</v>
          </cell>
          <cell r="O51">
            <v>149565.51</v>
          </cell>
        </row>
      </sheetData>
      <sheetData sheetId="3"/>
      <sheetData sheetId="4"/>
      <sheetData sheetId="5">
        <row r="51">
          <cell r="C51">
            <v>989.64</v>
          </cell>
          <cell r="D51">
            <v>749634.72</v>
          </cell>
          <cell r="E51">
            <v>333779.43</v>
          </cell>
          <cell r="F51">
            <v>0</v>
          </cell>
          <cell r="G51">
            <v>3365.55</v>
          </cell>
          <cell r="H51">
            <v>563.5</v>
          </cell>
          <cell r="J51">
            <v>196.45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</sheetNames>
    <sheetDataSet>
      <sheetData sheetId="0"/>
      <sheetData sheetId="1">
        <row r="51">
          <cell r="I51">
            <v>740</v>
          </cell>
          <cell r="J51">
            <v>31628.41</v>
          </cell>
          <cell r="Q51">
            <v>12963.23</v>
          </cell>
        </row>
      </sheetData>
      <sheetData sheetId="2">
        <row r="51">
          <cell r="G51">
            <v>1</v>
          </cell>
          <cell r="H51">
            <v>0</v>
          </cell>
          <cell r="L51">
            <v>4</v>
          </cell>
          <cell r="N51">
            <v>0</v>
          </cell>
          <cell r="O51">
            <v>793.39</v>
          </cell>
        </row>
      </sheetData>
      <sheetData sheetId="3"/>
      <sheetData sheetId="4"/>
      <sheetData sheetId="5">
        <row r="51">
          <cell r="C51">
            <v>943.21</v>
          </cell>
          <cell r="D51">
            <v>9676.8700000000008</v>
          </cell>
          <cell r="E51">
            <v>7610.29</v>
          </cell>
          <cell r="F51">
            <v>0</v>
          </cell>
          <cell r="G51">
            <v>61.7</v>
          </cell>
          <cell r="H51">
            <v>293.94</v>
          </cell>
          <cell r="J51">
            <v>1.78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donija"/>
      <sheetName val="Triglav"/>
      <sheetName val="Euroins"/>
      <sheetName val="Sava"/>
      <sheetName val="Winner"/>
      <sheetName val="Eurolink"/>
      <sheetName val="Grawe"/>
      <sheetName val="Uniqa"/>
      <sheetName val="Polisa"/>
      <sheetName val="Halk"/>
      <sheetName val="Croatia"/>
      <sheetName val="Zoil"/>
      <sheetName val="Vkup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266</v>
          </cell>
          <cell r="D12">
            <v>30044.449999999997</v>
          </cell>
          <cell r="F12">
            <v>663</v>
          </cell>
          <cell r="G12">
            <v>146258.32</v>
          </cell>
        </row>
        <row r="21">
          <cell r="C21">
            <v>43</v>
          </cell>
          <cell r="D21">
            <v>10776</v>
          </cell>
          <cell r="F21">
            <v>199</v>
          </cell>
          <cell r="G21">
            <v>46060.78</v>
          </cell>
        </row>
        <row r="22">
          <cell r="C22">
            <v>432</v>
          </cell>
          <cell r="D22">
            <v>65359.64</v>
          </cell>
          <cell r="F22">
            <v>559</v>
          </cell>
          <cell r="G22">
            <v>139811.22999999998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4"/>
    </sheetNames>
    <sheetDataSet>
      <sheetData sheetId="0" refreshError="1"/>
      <sheetData sheetId="1">
        <row r="10">
          <cell r="C10">
            <v>40217</v>
          </cell>
          <cell r="D10">
            <v>107392.95</v>
          </cell>
          <cell r="F10">
            <v>731</v>
          </cell>
          <cell r="G10">
            <v>35364.36</v>
          </cell>
          <cell r="H10">
            <v>294</v>
          </cell>
          <cell r="I10">
            <v>19097.13</v>
          </cell>
        </row>
        <row r="20">
          <cell r="C20">
            <v>16909</v>
          </cell>
          <cell r="D20">
            <v>224240.68</v>
          </cell>
          <cell r="F20">
            <v>11072</v>
          </cell>
          <cell r="G20">
            <v>113627.8</v>
          </cell>
          <cell r="H20">
            <v>838</v>
          </cell>
          <cell r="I20">
            <v>16544.669999999998</v>
          </cell>
        </row>
        <row r="24">
          <cell r="C24">
            <v>5607</v>
          </cell>
          <cell r="D24">
            <v>152050.96</v>
          </cell>
          <cell r="F24">
            <v>810</v>
          </cell>
          <cell r="G24">
            <v>72666.539999999994</v>
          </cell>
          <cell r="H24">
            <v>414</v>
          </cell>
          <cell r="I24">
            <v>41287.25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1</v>
          </cell>
          <cell r="G30">
            <v>6412.43</v>
          </cell>
          <cell r="H30">
            <v>1</v>
          </cell>
          <cell r="I30">
            <v>480256.06</v>
          </cell>
        </row>
        <row r="33">
          <cell r="C33">
            <v>4</v>
          </cell>
          <cell r="D33">
            <v>185.1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531</v>
          </cell>
          <cell r="D36">
            <v>22620.959999999999</v>
          </cell>
          <cell r="F36">
            <v>2</v>
          </cell>
          <cell r="G36">
            <v>51434.64</v>
          </cell>
          <cell r="H36">
            <v>1</v>
          </cell>
          <cell r="I36">
            <v>100</v>
          </cell>
        </row>
        <row r="40">
          <cell r="C40">
            <v>16292</v>
          </cell>
          <cell r="D40">
            <v>93887.86</v>
          </cell>
          <cell r="F40">
            <v>35</v>
          </cell>
          <cell r="G40">
            <v>6425.65</v>
          </cell>
          <cell r="H40">
            <v>50</v>
          </cell>
          <cell r="I40">
            <v>24671.87</v>
          </cell>
        </row>
        <row r="56">
          <cell r="C56">
            <v>18924</v>
          </cell>
          <cell r="D56">
            <v>204900.47</v>
          </cell>
          <cell r="F56">
            <v>614</v>
          </cell>
          <cell r="G56">
            <v>24045.77</v>
          </cell>
          <cell r="H56">
            <v>200</v>
          </cell>
          <cell r="I56">
            <v>13638.14</v>
          </cell>
        </row>
        <row r="88">
          <cell r="C88">
            <v>66313</v>
          </cell>
          <cell r="D88">
            <v>377028.8</v>
          </cell>
          <cell r="F88">
            <v>1861</v>
          </cell>
          <cell r="G88">
            <v>150264.39000000001</v>
          </cell>
          <cell r="H88">
            <v>1110</v>
          </cell>
          <cell r="I88">
            <v>286615.09999999998</v>
          </cell>
        </row>
        <row r="124">
          <cell r="C124">
            <v>158</v>
          </cell>
          <cell r="D124">
            <v>426.94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54</v>
          </cell>
          <cell r="D128">
            <v>336.68</v>
          </cell>
          <cell r="F128">
            <v>0</v>
          </cell>
          <cell r="G128">
            <v>0</v>
          </cell>
          <cell r="H128">
            <v>6</v>
          </cell>
          <cell r="I128">
            <v>6255</v>
          </cell>
        </row>
        <row r="132">
          <cell r="C132">
            <v>7047</v>
          </cell>
          <cell r="D132">
            <v>43373.86</v>
          </cell>
          <cell r="F132">
            <v>12</v>
          </cell>
          <cell r="G132">
            <v>649.25</v>
          </cell>
          <cell r="H132">
            <v>12</v>
          </cell>
          <cell r="I132">
            <v>6774.3</v>
          </cell>
        </row>
        <row r="153">
          <cell r="C153">
            <v>10348</v>
          </cell>
          <cell r="D153">
            <v>53391.35</v>
          </cell>
          <cell r="F153">
            <v>30</v>
          </cell>
          <cell r="G153">
            <v>940.65</v>
          </cell>
          <cell r="H153">
            <v>15</v>
          </cell>
          <cell r="I153">
            <v>9309.98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50</v>
          </cell>
          <cell r="D161">
            <v>56351.040000000001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100248</v>
          </cell>
          <cell r="D170">
            <v>58003.76</v>
          </cell>
          <cell r="F170">
            <v>708</v>
          </cell>
          <cell r="G170">
            <v>14122.97</v>
          </cell>
          <cell r="H170">
            <v>769</v>
          </cell>
          <cell r="I170">
            <v>19593.04</v>
          </cell>
        </row>
        <row r="175">
          <cell r="C175">
            <v>218654</v>
          </cell>
        </row>
      </sheetData>
      <sheetData sheetId="2">
        <row r="11">
          <cell r="C11">
            <v>34913</v>
          </cell>
          <cell r="D11">
            <v>192773.9</v>
          </cell>
          <cell r="J11">
            <v>1416</v>
          </cell>
          <cell r="K11">
            <v>93898.25</v>
          </cell>
        </row>
        <row r="12">
          <cell r="C12">
            <v>4064</v>
          </cell>
          <cell r="D12">
            <v>48971.02</v>
          </cell>
          <cell r="J12">
            <v>225</v>
          </cell>
          <cell r="K12">
            <v>12447.45</v>
          </cell>
        </row>
        <row r="13">
          <cell r="C13">
            <v>264</v>
          </cell>
          <cell r="D13">
            <v>5090.26</v>
          </cell>
          <cell r="J13">
            <v>13</v>
          </cell>
          <cell r="K13">
            <v>953.48</v>
          </cell>
        </row>
        <row r="14">
          <cell r="C14">
            <v>736</v>
          </cell>
          <cell r="D14">
            <v>594.97</v>
          </cell>
          <cell r="J14">
            <v>4</v>
          </cell>
          <cell r="K14">
            <v>222.66</v>
          </cell>
        </row>
        <row r="15">
          <cell r="C15">
            <v>30</v>
          </cell>
          <cell r="D15">
            <v>94.51</v>
          </cell>
          <cell r="J15">
            <v>0</v>
          </cell>
          <cell r="K15">
            <v>0</v>
          </cell>
        </row>
        <row r="16">
          <cell r="C16">
            <v>3768</v>
          </cell>
          <cell r="D16">
            <v>6192.32</v>
          </cell>
          <cell r="J16">
            <v>29</v>
          </cell>
          <cell r="K16">
            <v>873.77</v>
          </cell>
        </row>
        <row r="17">
          <cell r="C17">
            <v>1393</v>
          </cell>
          <cell r="D17">
            <v>428.01</v>
          </cell>
          <cell r="J17">
            <v>2</v>
          </cell>
          <cell r="K17">
            <v>92.47</v>
          </cell>
        </row>
        <row r="18">
          <cell r="C18">
            <v>101</v>
          </cell>
          <cell r="D18">
            <v>382.5</v>
          </cell>
          <cell r="J18">
            <v>3</v>
          </cell>
          <cell r="K18">
            <v>75.31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17604</v>
          </cell>
          <cell r="D25">
            <v>79616.97</v>
          </cell>
          <cell r="J25">
            <v>34</v>
          </cell>
          <cell r="K25">
            <v>6007.5</v>
          </cell>
        </row>
        <row r="26">
          <cell r="C26">
            <v>1089</v>
          </cell>
          <cell r="D26">
            <v>17384.07</v>
          </cell>
          <cell r="J26">
            <v>115</v>
          </cell>
          <cell r="K26">
            <v>31937.200000000001</v>
          </cell>
        </row>
        <row r="27">
          <cell r="C27">
            <v>83</v>
          </cell>
          <cell r="D27">
            <v>1344.81</v>
          </cell>
          <cell r="J27">
            <v>7</v>
          </cell>
          <cell r="K27">
            <v>1006.68</v>
          </cell>
        </row>
        <row r="28">
          <cell r="C28">
            <v>3</v>
          </cell>
          <cell r="D28">
            <v>16.600000000000001</v>
          </cell>
          <cell r="J28">
            <v>0</v>
          </cell>
          <cell r="K28">
            <v>0</v>
          </cell>
        </row>
        <row r="29">
          <cell r="C29">
            <v>11</v>
          </cell>
          <cell r="D29">
            <v>55.66</v>
          </cell>
          <cell r="J29">
            <v>0</v>
          </cell>
          <cell r="K29">
            <v>0</v>
          </cell>
        </row>
        <row r="30">
          <cell r="C30">
            <v>373</v>
          </cell>
          <cell r="D30">
            <v>652.85</v>
          </cell>
          <cell r="J30">
            <v>0</v>
          </cell>
          <cell r="K30">
            <v>0</v>
          </cell>
        </row>
        <row r="31">
          <cell r="C31">
            <v>1043</v>
          </cell>
          <cell r="D31">
            <v>5402.29</v>
          </cell>
          <cell r="J31">
            <v>5</v>
          </cell>
          <cell r="K31">
            <v>840.37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166</v>
          </cell>
          <cell r="D34">
            <v>1109.46</v>
          </cell>
          <cell r="J34">
            <v>1</v>
          </cell>
          <cell r="K34">
            <v>167.71</v>
          </cell>
        </row>
        <row r="35">
          <cell r="C35">
            <v>1</v>
          </cell>
          <cell r="D35">
            <v>14.14</v>
          </cell>
          <cell r="J35">
            <v>0</v>
          </cell>
          <cell r="K35">
            <v>0</v>
          </cell>
        </row>
        <row r="36">
          <cell r="C36">
            <v>6</v>
          </cell>
          <cell r="D36">
            <v>30.75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76828.94</v>
          </cell>
        </row>
        <row r="11">
          <cell r="P11">
            <v>160421.78</v>
          </cell>
        </row>
        <row r="12">
          <cell r="P12">
            <v>104732.7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154.4</v>
          </cell>
        </row>
        <row r="16">
          <cell r="P16">
            <v>18868.16</v>
          </cell>
        </row>
        <row r="17">
          <cell r="P17">
            <v>53196.88</v>
          </cell>
        </row>
        <row r="20">
          <cell r="P20">
            <v>138307.82999999999</v>
          </cell>
        </row>
        <row r="26">
          <cell r="P26">
            <v>289975.15999999997</v>
          </cell>
        </row>
        <row r="33">
          <cell r="P33">
            <v>356.11</v>
          </cell>
        </row>
        <row r="34">
          <cell r="P34">
            <v>280.82</v>
          </cell>
        </row>
        <row r="35">
          <cell r="P35">
            <v>34209.01</v>
          </cell>
        </row>
        <row r="36">
          <cell r="P36">
            <v>32034.81</v>
          </cell>
        </row>
        <row r="37">
          <cell r="P37">
            <v>0</v>
          </cell>
        </row>
        <row r="38">
          <cell r="P38">
            <v>44444.07</v>
          </cell>
        </row>
        <row r="39">
          <cell r="P39">
            <v>0</v>
          </cell>
        </row>
        <row r="40">
          <cell r="P40">
            <v>34802.26</v>
          </cell>
        </row>
      </sheetData>
      <sheetData sheetId="5">
        <row r="10">
          <cell r="G10">
            <v>22822.57</v>
          </cell>
        </row>
        <row r="11">
          <cell r="G11">
            <v>7629.73</v>
          </cell>
        </row>
        <row r="12">
          <cell r="G12">
            <v>8275.2999999999993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3469.7</v>
          </cell>
        </row>
        <row r="20">
          <cell r="G20">
            <v>4516.63</v>
          </cell>
        </row>
        <row r="26">
          <cell r="G26">
            <v>235862.19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2151.36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955.55</v>
          </cell>
        </row>
        <row r="41">
          <cell r="C41">
            <v>762373.91</v>
          </cell>
          <cell r="D41">
            <v>65237.54</v>
          </cell>
          <cell r="E41">
            <v>924142.54</v>
          </cell>
          <cell r="G41">
            <v>285683.03000000003</v>
          </cell>
          <cell r="I41">
            <v>68360.56</v>
          </cell>
          <cell r="K41">
            <v>11319.96</v>
          </cell>
          <cell r="M41">
            <v>0</v>
          </cell>
        </row>
      </sheetData>
      <sheetData sheetId="6">
        <row r="9">
          <cell r="C9">
            <v>134858</v>
          </cell>
          <cell r="D9">
            <v>1029009.32</v>
          </cell>
        </row>
        <row r="18">
          <cell r="C18">
            <v>63020</v>
          </cell>
          <cell r="D18">
            <v>295712.40000000002</v>
          </cell>
          <cell r="E18">
            <v>70127.17</v>
          </cell>
        </row>
        <row r="19">
          <cell r="C19">
            <v>8</v>
          </cell>
          <cell r="D19">
            <v>93.97</v>
          </cell>
          <cell r="E19">
            <v>75.03</v>
          </cell>
        </row>
        <row r="20">
          <cell r="C20">
            <v>4135</v>
          </cell>
          <cell r="D20">
            <v>2640.29</v>
          </cell>
          <cell r="E20">
            <v>523.91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8808</v>
          </cell>
          <cell r="D22">
            <v>25582.720000000001</v>
          </cell>
          <cell r="E22">
            <v>6951.86</v>
          </cell>
        </row>
        <row r="29">
          <cell r="C29">
            <v>7825</v>
          </cell>
          <cell r="D29">
            <v>41153.01</v>
          </cell>
          <cell r="E29">
            <v>8101.62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21662</v>
          </cell>
          <cell r="D10">
            <v>41897</v>
          </cell>
          <cell r="F10">
            <v>164</v>
          </cell>
          <cell r="G10">
            <v>5625</v>
          </cell>
          <cell r="H10">
            <v>56</v>
          </cell>
          <cell r="I10">
            <v>2593</v>
          </cell>
        </row>
        <row r="20">
          <cell r="C20">
            <v>68</v>
          </cell>
          <cell r="D20">
            <v>16735</v>
          </cell>
          <cell r="F20">
            <v>984</v>
          </cell>
          <cell r="G20">
            <v>7673</v>
          </cell>
          <cell r="H20">
            <v>60</v>
          </cell>
          <cell r="I20">
            <v>2362</v>
          </cell>
        </row>
        <row r="24">
          <cell r="C24">
            <v>8705</v>
          </cell>
          <cell r="D24">
            <v>66181</v>
          </cell>
          <cell r="F24">
            <v>442</v>
          </cell>
          <cell r="G24">
            <v>31212</v>
          </cell>
          <cell r="H24">
            <v>217</v>
          </cell>
          <cell r="I24">
            <v>18329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</v>
          </cell>
          <cell r="D33">
            <v>39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215</v>
          </cell>
          <cell r="D36">
            <v>13660</v>
          </cell>
          <cell r="F36">
            <v>1</v>
          </cell>
          <cell r="G36">
            <v>36</v>
          </cell>
          <cell r="H36">
            <v>0</v>
          </cell>
          <cell r="I36">
            <v>0</v>
          </cell>
        </row>
        <row r="40">
          <cell r="C40">
            <v>4632</v>
          </cell>
          <cell r="D40">
            <v>46081</v>
          </cell>
          <cell r="F40">
            <v>7</v>
          </cell>
          <cell r="G40">
            <v>422</v>
          </cell>
          <cell r="H40">
            <v>13</v>
          </cell>
          <cell r="I40">
            <v>905</v>
          </cell>
        </row>
        <row r="56">
          <cell r="C56">
            <v>1674</v>
          </cell>
          <cell r="D56">
            <v>57742</v>
          </cell>
          <cell r="F56">
            <v>194</v>
          </cell>
          <cell r="G56">
            <v>6584</v>
          </cell>
          <cell r="H56">
            <v>98</v>
          </cell>
          <cell r="I56">
            <v>12697</v>
          </cell>
        </row>
        <row r="88">
          <cell r="C88">
            <v>72175</v>
          </cell>
          <cell r="D88">
            <v>334752</v>
          </cell>
          <cell r="F88">
            <v>1445</v>
          </cell>
          <cell r="G88">
            <v>108172</v>
          </cell>
          <cell r="H88">
            <v>865</v>
          </cell>
          <cell r="I88">
            <v>162599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27</v>
          </cell>
          <cell r="D128">
            <v>95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812</v>
          </cell>
          <cell r="D132">
            <v>8430</v>
          </cell>
          <cell r="F132">
            <v>18</v>
          </cell>
          <cell r="G132">
            <v>227</v>
          </cell>
          <cell r="H132">
            <v>27</v>
          </cell>
          <cell r="I132">
            <v>2163</v>
          </cell>
        </row>
        <row r="153">
          <cell r="C153">
            <v>47</v>
          </cell>
          <cell r="D153">
            <v>1095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7</v>
          </cell>
          <cell r="D158">
            <v>375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5</v>
          </cell>
          <cell r="D161">
            <v>125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15694</v>
          </cell>
          <cell r="D170">
            <v>9788</v>
          </cell>
          <cell r="F170">
            <v>105</v>
          </cell>
          <cell r="G170">
            <v>2726</v>
          </cell>
          <cell r="H170">
            <v>125</v>
          </cell>
          <cell r="I170">
            <v>3641</v>
          </cell>
        </row>
        <row r="175">
          <cell r="C175">
            <v>102821</v>
          </cell>
        </row>
      </sheetData>
      <sheetData sheetId="1">
        <row r="11">
          <cell r="C11">
            <v>22243</v>
          </cell>
          <cell r="D11">
            <v>127870</v>
          </cell>
          <cell r="J11">
            <v>1167</v>
          </cell>
          <cell r="K11">
            <v>68275</v>
          </cell>
        </row>
        <row r="12">
          <cell r="C12">
            <v>2323</v>
          </cell>
          <cell r="D12">
            <v>26980</v>
          </cell>
          <cell r="J12">
            <v>145</v>
          </cell>
          <cell r="K12">
            <v>9711</v>
          </cell>
        </row>
        <row r="13">
          <cell r="C13">
            <v>157</v>
          </cell>
          <cell r="D13">
            <v>3305</v>
          </cell>
          <cell r="J13">
            <v>6</v>
          </cell>
          <cell r="K13">
            <v>244</v>
          </cell>
        </row>
        <row r="14">
          <cell r="C14">
            <v>175</v>
          </cell>
          <cell r="D14">
            <v>138</v>
          </cell>
          <cell r="J14">
            <v>3</v>
          </cell>
          <cell r="K14">
            <v>110</v>
          </cell>
        </row>
        <row r="15">
          <cell r="C15">
            <v>76</v>
          </cell>
          <cell r="D15">
            <v>199</v>
          </cell>
          <cell r="J15">
            <v>1</v>
          </cell>
          <cell r="K15">
            <v>53</v>
          </cell>
        </row>
        <row r="16">
          <cell r="C16">
            <v>1816</v>
          </cell>
          <cell r="D16">
            <v>3194</v>
          </cell>
          <cell r="J16">
            <v>10</v>
          </cell>
          <cell r="K16">
            <v>395</v>
          </cell>
        </row>
        <row r="17">
          <cell r="C17">
            <v>546</v>
          </cell>
          <cell r="D17">
            <v>181</v>
          </cell>
          <cell r="J17">
            <v>0</v>
          </cell>
          <cell r="K17">
            <v>0</v>
          </cell>
        </row>
        <row r="18">
          <cell r="C18">
            <v>100</v>
          </cell>
          <cell r="D18">
            <v>453</v>
          </cell>
          <cell r="J18">
            <v>34</v>
          </cell>
          <cell r="K18">
            <v>1726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10108</v>
          </cell>
          <cell r="D25">
            <v>47296</v>
          </cell>
          <cell r="J25">
            <v>20</v>
          </cell>
          <cell r="K25">
            <v>4041</v>
          </cell>
        </row>
        <row r="26">
          <cell r="C26">
            <v>450</v>
          </cell>
          <cell r="D26">
            <v>7687</v>
          </cell>
          <cell r="J26">
            <v>38</v>
          </cell>
          <cell r="K26">
            <v>14170</v>
          </cell>
        </row>
        <row r="27">
          <cell r="C27">
            <v>46</v>
          </cell>
          <cell r="D27">
            <v>792</v>
          </cell>
          <cell r="J27">
            <v>2</v>
          </cell>
          <cell r="K27">
            <v>148</v>
          </cell>
        </row>
        <row r="28">
          <cell r="C28">
            <v>3</v>
          </cell>
          <cell r="D28">
            <v>17</v>
          </cell>
          <cell r="J28">
            <v>0</v>
          </cell>
          <cell r="K28">
            <v>0</v>
          </cell>
        </row>
        <row r="29">
          <cell r="C29">
            <v>7</v>
          </cell>
          <cell r="D29">
            <v>39</v>
          </cell>
          <cell r="J29">
            <v>0</v>
          </cell>
          <cell r="K29">
            <v>0</v>
          </cell>
        </row>
        <row r="30">
          <cell r="C30">
            <v>176</v>
          </cell>
          <cell r="D30">
            <v>326</v>
          </cell>
          <cell r="J30">
            <v>0</v>
          </cell>
          <cell r="K30">
            <v>0</v>
          </cell>
        </row>
        <row r="31">
          <cell r="C31">
            <v>380</v>
          </cell>
          <cell r="D31">
            <v>2099</v>
          </cell>
          <cell r="J31">
            <v>3</v>
          </cell>
          <cell r="K31">
            <v>196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32720</v>
          </cell>
          <cell r="D34">
            <v>105446</v>
          </cell>
          <cell r="J34">
            <v>10</v>
          </cell>
          <cell r="K34">
            <v>8851</v>
          </cell>
        </row>
        <row r="35">
          <cell r="C35">
            <v>467</v>
          </cell>
          <cell r="D35">
            <v>3021</v>
          </cell>
          <cell r="J35">
            <v>1</v>
          </cell>
          <cell r="K35">
            <v>55</v>
          </cell>
        </row>
        <row r="36">
          <cell r="C36">
            <v>40</v>
          </cell>
          <cell r="D36">
            <v>284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14</v>
          </cell>
          <cell r="J37">
            <v>0</v>
          </cell>
          <cell r="K37">
            <v>0</v>
          </cell>
        </row>
        <row r="38">
          <cell r="C38">
            <v>19</v>
          </cell>
          <cell r="D38">
            <v>120</v>
          </cell>
          <cell r="J38">
            <v>0</v>
          </cell>
          <cell r="K38">
            <v>0</v>
          </cell>
        </row>
        <row r="39">
          <cell r="C39">
            <v>40</v>
          </cell>
          <cell r="D39">
            <v>124</v>
          </cell>
          <cell r="J39">
            <v>0</v>
          </cell>
          <cell r="K39">
            <v>0</v>
          </cell>
        </row>
        <row r="40">
          <cell r="C40">
            <v>70</v>
          </cell>
          <cell r="D40">
            <v>46</v>
          </cell>
          <cell r="J40">
            <v>0</v>
          </cell>
          <cell r="K40">
            <v>0</v>
          </cell>
        </row>
        <row r="41">
          <cell r="C41">
            <v>2</v>
          </cell>
          <cell r="D41">
            <v>28</v>
          </cell>
          <cell r="J41">
            <v>0</v>
          </cell>
          <cell r="K41">
            <v>0</v>
          </cell>
        </row>
      </sheetData>
      <sheetData sheetId="2" refreshError="1"/>
      <sheetData sheetId="3">
        <row r="10">
          <cell r="P10">
            <v>21167</v>
          </cell>
        </row>
        <row r="11">
          <cell r="P11">
            <v>11385</v>
          </cell>
        </row>
        <row r="12">
          <cell r="P12">
            <v>43017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25</v>
          </cell>
        </row>
        <row r="16">
          <cell r="P16">
            <v>9562</v>
          </cell>
        </row>
        <row r="17">
          <cell r="P17">
            <v>27649</v>
          </cell>
        </row>
        <row r="20">
          <cell r="P20">
            <v>34645</v>
          </cell>
        </row>
        <row r="26">
          <cell r="P26">
            <v>257760</v>
          </cell>
        </row>
        <row r="33">
          <cell r="P33">
            <v>0</v>
          </cell>
        </row>
        <row r="34">
          <cell r="P34">
            <v>73</v>
          </cell>
        </row>
        <row r="35">
          <cell r="P35">
            <v>5059</v>
          </cell>
        </row>
        <row r="36">
          <cell r="P36">
            <v>324</v>
          </cell>
        </row>
        <row r="37">
          <cell r="P37">
            <v>244</v>
          </cell>
        </row>
        <row r="38">
          <cell r="P38">
            <v>88</v>
          </cell>
        </row>
        <row r="39">
          <cell r="P39">
            <v>0</v>
          </cell>
        </row>
        <row r="40">
          <cell r="P40">
            <v>5873</v>
          </cell>
        </row>
      </sheetData>
      <sheetData sheetId="4">
        <row r="10">
          <cell r="G10">
            <v>10355</v>
          </cell>
        </row>
        <row r="11">
          <cell r="G11">
            <v>3802</v>
          </cell>
        </row>
        <row r="12">
          <cell r="G12">
            <v>16499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755</v>
          </cell>
        </row>
        <row r="17">
          <cell r="G17">
            <v>660</v>
          </cell>
        </row>
        <row r="20">
          <cell r="G20">
            <v>32898</v>
          </cell>
        </row>
        <row r="26">
          <cell r="G26">
            <v>222401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1365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89</v>
          </cell>
        </row>
        <row r="39">
          <cell r="G39">
            <v>0</v>
          </cell>
        </row>
        <row r="40">
          <cell r="G40">
            <v>2851</v>
          </cell>
        </row>
        <row r="41">
          <cell r="C41">
            <v>298959</v>
          </cell>
          <cell r="D41">
            <v>1725</v>
          </cell>
          <cell r="E41">
            <v>205289</v>
          </cell>
          <cell r="G41">
            <v>291675</v>
          </cell>
          <cell r="I41">
            <v>26598</v>
          </cell>
          <cell r="K41">
            <v>8237</v>
          </cell>
          <cell r="M41">
            <v>0</v>
          </cell>
        </row>
      </sheetData>
      <sheetData sheetId="5">
        <row r="9">
          <cell r="C9">
            <v>10612</v>
          </cell>
          <cell r="D9">
            <v>97703</v>
          </cell>
        </row>
        <row r="18">
          <cell r="C18">
            <v>12894</v>
          </cell>
          <cell r="D18">
            <v>122069</v>
          </cell>
          <cell r="E18">
            <v>44619</v>
          </cell>
        </row>
        <row r="19">
          <cell r="C19">
            <v>13499</v>
          </cell>
          <cell r="D19">
            <v>67379</v>
          </cell>
          <cell r="E19">
            <v>20157</v>
          </cell>
        </row>
        <row r="20">
          <cell r="C20">
            <v>2</v>
          </cell>
          <cell r="D20">
            <v>2</v>
          </cell>
          <cell r="E20">
            <v>1</v>
          </cell>
        </row>
        <row r="21">
          <cell r="C21">
            <v>753</v>
          </cell>
          <cell r="D21">
            <v>9907</v>
          </cell>
          <cell r="E21">
            <v>1486</v>
          </cell>
        </row>
        <row r="22">
          <cell r="C22">
            <v>2241</v>
          </cell>
          <cell r="D22">
            <v>4732</v>
          </cell>
          <cell r="E22">
            <v>1402</v>
          </cell>
        </row>
        <row r="29">
          <cell r="C29">
            <v>4936</v>
          </cell>
          <cell r="D29">
            <v>24512</v>
          </cell>
          <cell r="E29">
            <v>4633</v>
          </cell>
        </row>
        <row r="38">
          <cell r="C38">
            <v>57884</v>
          </cell>
          <cell r="D38">
            <v>270691</v>
          </cell>
          <cell r="E38">
            <v>70639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125051</v>
          </cell>
          <cell r="D10">
            <v>63954.53</v>
          </cell>
          <cell r="F10">
            <v>717</v>
          </cell>
          <cell r="G10">
            <v>17260.169999999998</v>
          </cell>
          <cell r="H10">
            <v>236</v>
          </cell>
          <cell r="I10">
            <v>3675.85</v>
          </cell>
        </row>
        <row r="20">
          <cell r="C20">
            <v>10105</v>
          </cell>
          <cell r="D20">
            <v>96495.03</v>
          </cell>
          <cell r="F20">
            <v>4949</v>
          </cell>
          <cell r="G20">
            <v>74741.399999999994</v>
          </cell>
          <cell r="H20">
            <v>430</v>
          </cell>
          <cell r="I20">
            <v>7328.8</v>
          </cell>
        </row>
        <row r="24">
          <cell r="C24">
            <v>6939</v>
          </cell>
          <cell r="D24">
            <v>206986.7</v>
          </cell>
          <cell r="F24">
            <v>1012</v>
          </cell>
          <cell r="G24">
            <v>113124.08</v>
          </cell>
          <cell r="H24">
            <v>395</v>
          </cell>
          <cell r="I24">
            <v>52073.49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23</v>
          </cell>
          <cell r="D33">
            <v>1088.46</v>
          </cell>
          <cell r="F33">
            <v>1</v>
          </cell>
          <cell r="G33">
            <v>39.79</v>
          </cell>
          <cell r="H33">
            <v>1</v>
          </cell>
          <cell r="I33">
            <v>20</v>
          </cell>
        </row>
        <row r="36">
          <cell r="C36">
            <v>203</v>
          </cell>
          <cell r="D36">
            <v>3380.79</v>
          </cell>
          <cell r="F36">
            <v>2</v>
          </cell>
          <cell r="G36">
            <v>5.84</v>
          </cell>
          <cell r="H36">
            <v>0</v>
          </cell>
          <cell r="I36">
            <v>0</v>
          </cell>
        </row>
        <row r="40">
          <cell r="C40">
            <v>20657</v>
          </cell>
          <cell r="D40">
            <v>85709.94</v>
          </cell>
          <cell r="F40">
            <v>106</v>
          </cell>
          <cell r="G40">
            <v>184686.11</v>
          </cell>
          <cell r="H40">
            <v>53</v>
          </cell>
          <cell r="I40">
            <v>41400.61</v>
          </cell>
        </row>
        <row r="56">
          <cell r="C56">
            <v>35183</v>
          </cell>
          <cell r="D56">
            <v>159225.51</v>
          </cell>
          <cell r="F56">
            <v>756</v>
          </cell>
          <cell r="G56">
            <v>50122.92</v>
          </cell>
          <cell r="H56">
            <v>348</v>
          </cell>
          <cell r="I56">
            <v>17058.32</v>
          </cell>
        </row>
        <row r="88">
          <cell r="C88">
            <v>73753</v>
          </cell>
          <cell r="D88">
            <v>439830.02</v>
          </cell>
          <cell r="F88">
            <v>1935</v>
          </cell>
          <cell r="G88">
            <v>159963.84</v>
          </cell>
          <cell r="H88">
            <v>980</v>
          </cell>
          <cell r="I88">
            <v>217875.94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305</v>
          </cell>
          <cell r="D128">
            <v>1273.53</v>
          </cell>
          <cell r="F128">
            <v>1</v>
          </cell>
          <cell r="G128">
            <v>9.1</v>
          </cell>
          <cell r="H128">
            <v>2</v>
          </cell>
          <cell r="I128">
            <v>220</v>
          </cell>
        </row>
        <row r="132">
          <cell r="C132">
            <v>13343</v>
          </cell>
          <cell r="D132">
            <v>17162.28</v>
          </cell>
          <cell r="F132">
            <v>19</v>
          </cell>
          <cell r="G132">
            <v>1836.04</v>
          </cell>
          <cell r="H132">
            <v>28</v>
          </cell>
          <cell r="I132">
            <v>3075.48</v>
          </cell>
        </row>
        <row r="153">
          <cell r="C153">
            <v>37</v>
          </cell>
          <cell r="D153">
            <v>10114.4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220</v>
          </cell>
          <cell r="D161">
            <v>7832.57</v>
          </cell>
          <cell r="F161">
            <v>2</v>
          </cell>
          <cell r="G161">
            <v>463</v>
          </cell>
          <cell r="H161">
            <v>8</v>
          </cell>
          <cell r="I161">
            <v>3043.11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77935</v>
          </cell>
          <cell r="D170">
            <v>47828.35</v>
          </cell>
          <cell r="F170">
            <v>748</v>
          </cell>
          <cell r="G170">
            <v>17755.91</v>
          </cell>
          <cell r="H170">
            <v>348</v>
          </cell>
          <cell r="I170">
            <v>8329.9699999999993</v>
          </cell>
        </row>
        <row r="175">
          <cell r="C175">
            <v>210645</v>
          </cell>
        </row>
      </sheetData>
      <sheetData sheetId="2">
        <row r="11">
          <cell r="C11">
            <v>37144</v>
          </cell>
          <cell r="D11">
            <v>222462.36</v>
          </cell>
          <cell r="J11">
            <v>1453</v>
          </cell>
          <cell r="K11">
            <v>102278.78</v>
          </cell>
        </row>
        <row r="12">
          <cell r="C12">
            <v>5192</v>
          </cell>
          <cell r="D12">
            <v>60556.68</v>
          </cell>
          <cell r="J12">
            <v>254</v>
          </cell>
          <cell r="K12">
            <v>17683.310000000001</v>
          </cell>
        </row>
        <row r="13">
          <cell r="C13">
            <v>288</v>
          </cell>
          <cell r="D13">
            <v>6378.48</v>
          </cell>
          <cell r="J13">
            <v>28</v>
          </cell>
          <cell r="K13">
            <v>1362.13</v>
          </cell>
        </row>
        <row r="14">
          <cell r="C14">
            <v>498</v>
          </cell>
          <cell r="D14">
            <v>411.58</v>
          </cell>
          <cell r="J14">
            <v>8</v>
          </cell>
          <cell r="K14">
            <v>346.68</v>
          </cell>
        </row>
        <row r="15">
          <cell r="C15">
            <v>46</v>
          </cell>
          <cell r="D15">
            <v>132.31</v>
          </cell>
          <cell r="J15">
            <v>3</v>
          </cell>
          <cell r="K15">
            <v>658.48</v>
          </cell>
        </row>
        <row r="16">
          <cell r="C16">
            <v>4957</v>
          </cell>
          <cell r="D16">
            <v>10408.82</v>
          </cell>
          <cell r="J16">
            <v>9</v>
          </cell>
          <cell r="K16">
            <v>264.27999999999997</v>
          </cell>
        </row>
        <row r="17">
          <cell r="C17">
            <v>1330</v>
          </cell>
          <cell r="D17">
            <v>428.54</v>
          </cell>
          <cell r="J17">
            <v>0</v>
          </cell>
          <cell r="K17">
            <v>0</v>
          </cell>
        </row>
        <row r="18">
          <cell r="C18">
            <v>147</v>
          </cell>
          <cell r="D18">
            <v>501.86</v>
          </cell>
          <cell r="J18">
            <v>10</v>
          </cell>
          <cell r="K18">
            <v>895.63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11.11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20099</v>
          </cell>
          <cell r="D25">
            <v>91988.86</v>
          </cell>
          <cell r="J25">
            <v>49</v>
          </cell>
          <cell r="K25">
            <v>13480.27</v>
          </cell>
        </row>
        <row r="26">
          <cell r="C26">
            <v>1092</v>
          </cell>
          <cell r="D26">
            <v>16886.400000000001</v>
          </cell>
          <cell r="J26">
            <v>78</v>
          </cell>
          <cell r="K26">
            <v>15803.86</v>
          </cell>
        </row>
        <row r="27">
          <cell r="C27">
            <v>159</v>
          </cell>
          <cell r="D27">
            <v>2466.64</v>
          </cell>
          <cell r="J27">
            <v>9</v>
          </cell>
          <cell r="K27">
            <v>3526.57</v>
          </cell>
        </row>
        <row r="28">
          <cell r="C28">
            <v>9</v>
          </cell>
          <cell r="D28">
            <v>67.959999999999994</v>
          </cell>
          <cell r="J28">
            <v>0</v>
          </cell>
          <cell r="K28">
            <v>0</v>
          </cell>
        </row>
        <row r="29">
          <cell r="C29">
            <v>6</v>
          </cell>
          <cell r="D29">
            <v>33.22</v>
          </cell>
          <cell r="J29">
            <v>0</v>
          </cell>
          <cell r="K29">
            <v>0</v>
          </cell>
        </row>
        <row r="30">
          <cell r="C30">
            <v>806</v>
          </cell>
          <cell r="D30">
            <v>1418.84</v>
          </cell>
          <cell r="J30">
            <v>0</v>
          </cell>
          <cell r="K30">
            <v>0</v>
          </cell>
        </row>
        <row r="31">
          <cell r="C31">
            <v>946</v>
          </cell>
          <cell r="D31">
            <v>4854.2299999999996</v>
          </cell>
          <cell r="J31">
            <v>0</v>
          </cell>
          <cell r="K31">
            <v>0</v>
          </cell>
        </row>
        <row r="32">
          <cell r="C32">
            <v>2</v>
          </cell>
          <cell r="D32">
            <v>11.07</v>
          </cell>
          <cell r="J32">
            <v>0</v>
          </cell>
          <cell r="K32">
            <v>0</v>
          </cell>
        </row>
        <row r="34">
          <cell r="C34">
            <v>257</v>
          </cell>
          <cell r="D34">
            <v>1567.52</v>
          </cell>
          <cell r="J34">
            <v>1</v>
          </cell>
          <cell r="K34">
            <v>148.16</v>
          </cell>
        </row>
        <row r="35">
          <cell r="C35">
            <v>3</v>
          </cell>
          <cell r="D35">
            <v>22.15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1.23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4</v>
          </cell>
          <cell r="D39">
            <v>17.260000000000002</v>
          </cell>
          <cell r="J39">
            <v>0</v>
          </cell>
          <cell r="K39">
            <v>0</v>
          </cell>
        </row>
        <row r="40">
          <cell r="C40">
            <v>9</v>
          </cell>
          <cell r="D40">
            <v>6.78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53318.79</v>
          </cell>
        </row>
        <row r="11">
          <cell r="P11">
            <v>80413.03</v>
          </cell>
        </row>
        <row r="12">
          <cell r="P12">
            <v>165589.35999999999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870.77</v>
          </cell>
        </row>
        <row r="16">
          <cell r="P16">
            <v>2704.64</v>
          </cell>
        </row>
        <row r="17">
          <cell r="P17">
            <v>68813.259999999995</v>
          </cell>
        </row>
        <row r="20">
          <cell r="P20">
            <v>128386.18</v>
          </cell>
        </row>
        <row r="26">
          <cell r="P26">
            <v>338356.59</v>
          </cell>
        </row>
        <row r="33">
          <cell r="P33">
            <v>0</v>
          </cell>
        </row>
        <row r="34">
          <cell r="P34">
            <v>1061.28</v>
          </cell>
        </row>
        <row r="35">
          <cell r="P35">
            <v>14192.53</v>
          </cell>
        </row>
        <row r="36">
          <cell r="P36">
            <v>7079.94</v>
          </cell>
        </row>
        <row r="37">
          <cell r="P37">
            <v>0</v>
          </cell>
        </row>
        <row r="38">
          <cell r="P38">
            <v>6527.14</v>
          </cell>
        </row>
        <row r="39">
          <cell r="P39">
            <v>0</v>
          </cell>
        </row>
        <row r="40">
          <cell r="P40">
            <v>32137.83</v>
          </cell>
        </row>
      </sheetData>
      <sheetData sheetId="5">
        <row r="10">
          <cell r="G10">
            <v>14093.36</v>
          </cell>
        </row>
        <row r="11">
          <cell r="G11">
            <v>14593</v>
          </cell>
        </row>
        <row r="12">
          <cell r="G12">
            <v>24852.3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3277.23</v>
          </cell>
        </row>
        <row r="20">
          <cell r="G20">
            <v>12768.22</v>
          </cell>
        </row>
        <row r="26">
          <cell r="G26">
            <v>192094.55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500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4178.9799999999996</v>
          </cell>
        </row>
        <row r="41">
          <cell r="C41">
            <v>703641.54</v>
          </cell>
          <cell r="D41">
            <v>8330.4500000000007</v>
          </cell>
          <cell r="E41">
            <v>354101.57</v>
          </cell>
          <cell r="G41">
            <v>266357.64</v>
          </cell>
          <cell r="I41">
            <v>22336.54</v>
          </cell>
          <cell r="K41">
            <v>25915.67</v>
          </cell>
          <cell r="M41">
            <v>0</v>
          </cell>
        </row>
      </sheetData>
      <sheetData sheetId="6">
        <row r="9">
          <cell r="C9">
            <v>77961</v>
          </cell>
          <cell r="D9">
            <v>613302.18999999994</v>
          </cell>
        </row>
        <row r="18">
          <cell r="C18">
            <v>27577</v>
          </cell>
          <cell r="D18">
            <v>215539.69</v>
          </cell>
          <cell r="E18">
            <v>42816.37</v>
          </cell>
        </row>
        <row r="19">
          <cell r="C19">
            <v>3661</v>
          </cell>
          <cell r="D19">
            <v>14586.32</v>
          </cell>
          <cell r="E19">
            <v>3412.4</v>
          </cell>
        </row>
        <row r="20">
          <cell r="C20">
            <v>4209</v>
          </cell>
          <cell r="D20">
            <v>2643.42</v>
          </cell>
          <cell r="E20">
            <v>793.02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36813</v>
          </cell>
          <cell r="D22">
            <v>48691.56</v>
          </cell>
          <cell r="E22">
            <v>14809.51</v>
          </cell>
        </row>
        <row r="29">
          <cell r="C29">
            <v>33051</v>
          </cell>
          <cell r="D29">
            <v>225575.25</v>
          </cell>
          <cell r="E29">
            <v>42892.4</v>
          </cell>
        </row>
        <row r="38">
          <cell r="C38">
            <v>27373</v>
          </cell>
          <cell r="D38">
            <v>20543.669999999998</v>
          </cell>
          <cell r="E38">
            <v>1411.22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44022</v>
          </cell>
          <cell r="D10">
            <v>80844</v>
          </cell>
          <cell r="F10">
            <v>935</v>
          </cell>
          <cell r="G10">
            <v>53812</v>
          </cell>
          <cell r="H10">
            <v>230</v>
          </cell>
          <cell r="I10">
            <v>7293</v>
          </cell>
        </row>
        <row r="20">
          <cell r="C20">
            <v>970</v>
          </cell>
          <cell r="D20">
            <v>178302</v>
          </cell>
          <cell r="F20">
            <v>9728</v>
          </cell>
          <cell r="G20">
            <v>105294</v>
          </cell>
          <cell r="H20">
            <v>962</v>
          </cell>
          <cell r="I20">
            <v>20687</v>
          </cell>
        </row>
        <row r="24">
          <cell r="C24">
            <v>4276</v>
          </cell>
          <cell r="D24">
            <v>120024</v>
          </cell>
          <cell r="F24">
            <v>529</v>
          </cell>
          <cell r="G24">
            <v>43068</v>
          </cell>
          <cell r="H24">
            <v>377</v>
          </cell>
          <cell r="I24">
            <v>32747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6</v>
          </cell>
          <cell r="D30">
            <v>76232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</v>
          </cell>
          <cell r="D33">
            <v>30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416</v>
          </cell>
          <cell r="D36">
            <v>4534</v>
          </cell>
          <cell r="F36">
            <v>0</v>
          </cell>
          <cell r="G36">
            <v>0</v>
          </cell>
          <cell r="H36">
            <v>1</v>
          </cell>
          <cell r="I36">
            <v>12</v>
          </cell>
        </row>
        <row r="40">
          <cell r="C40">
            <v>11213</v>
          </cell>
          <cell r="D40">
            <v>511208</v>
          </cell>
          <cell r="F40">
            <v>280</v>
          </cell>
          <cell r="G40">
            <v>12968</v>
          </cell>
          <cell r="H40">
            <v>85</v>
          </cell>
          <cell r="I40">
            <v>36792</v>
          </cell>
        </row>
        <row r="56">
          <cell r="C56">
            <v>9766</v>
          </cell>
          <cell r="D56">
            <v>291483.28999999998</v>
          </cell>
          <cell r="F56">
            <v>87</v>
          </cell>
          <cell r="G56">
            <v>3411</v>
          </cell>
          <cell r="H56">
            <v>38</v>
          </cell>
          <cell r="I56">
            <v>9083</v>
          </cell>
        </row>
        <row r="88">
          <cell r="C88">
            <v>69515</v>
          </cell>
          <cell r="D88">
            <v>371489</v>
          </cell>
          <cell r="F88">
            <v>1691</v>
          </cell>
          <cell r="G88">
            <v>145748</v>
          </cell>
          <cell r="H88">
            <v>1653</v>
          </cell>
          <cell r="I88">
            <v>262681</v>
          </cell>
        </row>
        <row r="124">
          <cell r="C124">
            <v>5</v>
          </cell>
          <cell r="D124">
            <v>8839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239</v>
          </cell>
          <cell r="D128">
            <v>927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10946</v>
          </cell>
          <cell r="D132">
            <v>158142</v>
          </cell>
          <cell r="F132">
            <v>51</v>
          </cell>
          <cell r="G132">
            <v>2473</v>
          </cell>
          <cell r="H132">
            <v>34</v>
          </cell>
          <cell r="I132">
            <v>4076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18</v>
          </cell>
          <cell r="D158">
            <v>98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780</v>
          </cell>
          <cell r="D161">
            <v>428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93084</v>
          </cell>
          <cell r="D170">
            <v>44516</v>
          </cell>
          <cell r="F170">
            <v>379</v>
          </cell>
          <cell r="G170">
            <v>12090</v>
          </cell>
          <cell r="H170">
            <v>437</v>
          </cell>
          <cell r="I170">
            <v>12192</v>
          </cell>
        </row>
        <row r="175">
          <cell r="C175">
            <v>181113</v>
          </cell>
        </row>
      </sheetData>
      <sheetData sheetId="1">
        <row r="11">
          <cell r="C11">
            <v>38518</v>
          </cell>
          <cell r="D11">
            <v>210880</v>
          </cell>
          <cell r="J11">
            <v>1413</v>
          </cell>
          <cell r="K11">
            <v>111931</v>
          </cell>
        </row>
        <row r="12">
          <cell r="C12">
            <v>3456</v>
          </cell>
          <cell r="D12">
            <v>40493</v>
          </cell>
          <cell r="J12">
            <v>183</v>
          </cell>
          <cell r="K12">
            <v>12199</v>
          </cell>
        </row>
        <row r="13">
          <cell r="C13">
            <v>589</v>
          </cell>
          <cell r="D13">
            <v>4229</v>
          </cell>
          <cell r="J13">
            <v>7</v>
          </cell>
          <cell r="K13">
            <v>216</v>
          </cell>
        </row>
        <row r="14">
          <cell r="C14">
            <v>383</v>
          </cell>
          <cell r="D14">
            <v>273</v>
          </cell>
          <cell r="J14">
            <v>7</v>
          </cell>
          <cell r="K14">
            <v>295</v>
          </cell>
        </row>
        <row r="15">
          <cell r="C15">
            <v>28</v>
          </cell>
          <cell r="D15">
            <v>91</v>
          </cell>
          <cell r="J15">
            <v>0</v>
          </cell>
          <cell r="K15">
            <v>0</v>
          </cell>
        </row>
        <row r="16">
          <cell r="C16">
            <v>3609</v>
          </cell>
          <cell r="D16">
            <v>5123</v>
          </cell>
          <cell r="J16">
            <v>6</v>
          </cell>
          <cell r="K16">
            <v>193</v>
          </cell>
        </row>
        <row r="17">
          <cell r="C17">
            <v>690</v>
          </cell>
          <cell r="D17">
            <v>221</v>
          </cell>
          <cell r="J17">
            <v>0</v>
          </cell>
          <cell r="K17">
            <v>62</v>
          </cell>
        </row>
        <row r="18">
          <cell r="C18">
            <v>124</v>
          </cell>
          <cell r="D18">
            <v>513</v>
          </cell>
          <cell r="J18">
            <v>4</v>
          </cell>
          <cell r="K18">
            <v>138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919</v>
          </cell>
          <cell r="D21">
            <v>583</v>
          </cell>
          <cell r="J21">
            <v>2</v>
          </cell>
          <cell r="K21">
            <v>154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22</v>
          </cell>
          <cell r="D23">
            <v>159</v>
          </cell>
          <cell r="J23">
            <v>0</v>
          </cell>
          <cell r="K23">
            <v>0</v>
          </cell>
        </row>
        <row r="25">
          <cell r="C25">
            <v>18964</v>
          </cell>
          <cell r="D25">
            <v>85345</v>
          </cell>
          <cell r="J25">
            <v>33</v>
          </cell>
          <cell r="K25">
            <v>13002</v>
          </cell>
        </row>
        <row r="26">
          <cell r="C26">
            <v>490</v>
          </cell>
          <cell r="D26">
            <v>8232</v>
          </cell>
          <cell r="J26">
            <v>24</v>
          </cell>
          <cell r="K26">
            <v>6665</v>
          </cell>
        </row>
        <row r="27">
          <cell r="C27">
            <v>486</v>
          </cell>
          <cell r="D27">
            <v>4486</v>
          </cell>
          <cell r="J27">
            <v>7</v>
          </cell>
          <cell r="K27">
            <v>423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7</v>
          </cell>
          <cell r="D29">
            <v>39</v>
          </cell>
          <cell r="J29">
            <v>0</v>
          </cell>
          <cell r="K29">
            <v>0</v>
          </cell>
        </row>
        <row r="30">
          <cell r="C30">
            <v>307</v>
          </cell>
          <cell r="D30">
            <v>544</v>
          </cell>
          <cell r="J30">
            <v>1</v>
          </cell>
          <cell r="K30">
            <v>16</v>
          </cell>
        </row>
        <row r="31">
          <cell r="C31">
            <v>393</v>
          </cell>
          <cell r="D31">
            <v>2082</v>
          </cell>
          <cell r="J31">
            <v>1</v>
          </cell>
          <cell r="K31">
            <v>60</v>
          </cell>
        </row>
        <row r="32">
          <cell r="C32">
            <v>4</v>
          </cell>
          <cell r="D32">
            <v>22</v>
          </cell>
          <cell r="J32">
            <v>0</v>
          </cell>
          <cell r="K32">
            <v>0</v>
          </cell>
        </row>
        <row r="34">
          <cell r="C34">
            <v>230</v>
          </cell>
          <cell r="D34">
            <v>1352</v>
          </cell>
          <cell r="J34">
            <v>0</v>
          </cell>
          <cell r="K34">
            <v>0</v>
          </cell>
        </row>
        <row r="35">
          <cell r="C35">
            <v>1</v>
          </cell>
          <cell r="D35">
            <v>28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14</v>
          </cell>
          <cell r="D39">
            <v>76</v>
          </cell>
          <cell r="J39">
            <v>0</v>
          </cell>
          <cell r="K39">
            <v>0</v>
          </cell>
        </row>
        <row r="40">
          <cell r="C40">
            <v>6</v>
          </cell>
          <cell r="D40">
            <v>5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2" refreshError="1"/>
      <sheetData sheetId="3">
        <row r="10">
          <cell r="P10">
            <v>59006</v>
          </cell>
        </row>
        <row r="11">
          <cell r="P11">
            <v>149774</v>
          </cell>
        </row>
        <row r="12">
          <cell r="P12">
            <v>102020</v>
          </cell>
        </row>
        <row r="13">
          <cell r="P13">
            <v>0</v>
          </cell>
        </row>
        <row r="14">
          <cell r="P14">
            <v>57174</v>
          </cell>
        </row>
        <row r="15">
          <cell r="P15">
            <v>26</v>
          </cell>
        </row>
        <row r="16">
          <cell r="P16">
            <v>3401</v>
          </cell>
        </row>
        <row r="17">
          <cell r="P17">
            <v>434440</v>
          </cell>
        </row>
        <row r="20">
          <cell r="P20">
            <v>247711</v>
          </cell>
        </row>
        <row r="26">
          <cell r="P26">
            <v>289069</v>
          </cell>
        </row>
        <row r="33">
          <cell r="P33">
            <v>6629</v>
          </cell>
        </row>
        <row r="34">
          <cell r="P34">
            <v>707</v>
          </cell>
        </row>
        <row r="35">
          <cell r="P35">
            <v>131258</v>
          </cell>
        </row>
        <row r="36">
          <cell r="P36">
            <v>0</v>
          </cell>
        </row>
        <row r="37">
          <cell r="P37">
            <v>83</v>
          </cell>
        </row>
        <row r="38">
          <cell r="P38">
            <v>364</v>
          </cell>
        </row>
        <row r="39">
          <cell r="P39">
            <v>0</v>
          </cell>
        </row>
        <row r="40">
          <cell r="P40">
            <v>24484</v>
          </cell>
        </row>
      </sheetData>
      <sheetData sheetId="4">
        <row r="10">
          <cell r="G10">
            <v>33737</v>
          </cell>
        </row>
        <row r="11">
          <cell r="G11">
            <v>8359</v>
          </cell>
        </row>
        <row r="12">
          <cell r="G12">
            <v>15438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105</v>
          </cell>
        </row>
        <row r="17">
          <cell r="G17">
            <v>14229</v>
          </cell>
        </row>
        <row r="20">
          <cell r="G20">
            <v>4008</v>
          </cell>
        </row>
        <row r="26">
          <cell r="G26">
            <v>200404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3984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2736</v>
          </cell>
        </row>
        <row r="41">
          <cell r="C41">
            <v>1313200</v>
          </cell>
          <cell r="D41">
            <v>9552</v>
          </cell>
          <cell r="E41">
            <v>385563</v>
          </cell>
          <cell r="G41">
            <v>283000</v>
          </cell>
          <cell r="I41">
            <v>6461</v>
          </cell>
          <cell r="K41">
            <v>26113</v>
          </cell>
          <cell r="M41">
            <v>0</v>
          </cell>
        </row>
      </sheetData>
      <sheetData sheetId="5">
        <row r="9">
          <cell r="C9">
            <v>130780</v>
          </cell>
          <cell r="D9">
            <v>1543384.89</v>
          </cell>
        </row>
        <row r="18">
          <cell r="C18">
            <v>23812</v>
          </cell>
          <cell r="D18">
            <v>251346.89</v>
          </cell>
          <cell r="E18">
            <v>59508.44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21287</v>
          </cell>
          <cell r="D20">
            <v>9716.2900000000009</v>
          </cell>
          <cell r="E20">
            <v>3184.35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5204</v>
          </cell>
          <cell r="D29">
            <v>42462.62</v>
          </cell>
          <cell r="E29">
            <v>10305.69</v>
          </cell>
        </row>
        <row r="38">
          <cell r="C38">
            <v>30</v>
          </cell>
          <cell r="D38">
            <v>185.54</v>
          </cell>
          <cell r="E38">
            <v>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56633</v>
          </cell>
          <cell r="D10">
            <v>21658.67</v>
          </cell>
          <cell r="F10">
            <v>444</v>
          </cell>
          <cell r="G10">
            <v>6853.05</v>
          </cell>
          <cell r="H10">
            <v>148</v>
          </cell>
          <cell r="I10">
            <v>2773.27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984</v>
          </cell>
          <cell r="D24">
            <v>17979.189999999999</v>
          </cell>
          <cell r="F24">
            <v>114</v>
          </cell>
          <cell r="G24">
            <v>9039.51</v>
          </cell>
          <cell r="H24">
            <v>154</v>
          </cell>
          <cell r="I24">
            <v>9014.7900000000009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828</v>
          </cell>
          <cell r="D40">
            <v>2950.1</v>
          </cell>
          <cell r="F40">
            <v>4</v>
          </cell>
          <cell r="G40">
            <v>144.44999999999999</v>
          </cell>
          <cell r="H40">
            <v>19</v>
          </cell>
          <cell r="I40">
            <v>736.06</v>
          </cell>
        </row>
        <row r="56">
          <cell r="C56">
            <v>522</v>
          </cell>
          <cell r="D56">
            <v>1707.36</v>
          </cell>
          <cell r="F56">
            <v>4</v>
          </cell>
          <cell r="G56">
            <v>640.51</v>
          </cell>
          <cell r="H56">
            <v>14</v>
          </cell>
          <cell r="I56">
            <v>420.18</v>
          </cell>
        </row>
        <row r="88">
          <cell r="C88">
            <v>97707</v>
          </cell>
          <cell r="D88">
            <v>507545.31</v>
          </cell>
          <cell r="F88">
            <v>2999</v>
          </cell>
          <cell r="G88">
            <v>169933.08</v>
          </cell>
          <cell r="H88">
            <v>3493</v>
          </cell>
          <cell r="I88">
            <v>199431.05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276</v>
          </cell>
          <cell r="D132">
            <v>607.1</v>
          </cell>
          <cell r="F132">
            <v>2</v>
          </cell>
          <cell r="G132">
            <v>88.43</v>
          </cell>
          <cell r="H132">
            <v>6</v>
          </cell>
          <cell r="I132">
            <v>204.42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8746</v>
          </cell>
          <cell r="D170">
            <v>4668.57</v>
          </cell>
          <cell r="F170">
            <v>86</v>
          </cell>
          <cell r="G170">
            <v>957.15</v>
          </cell>
          <cell r="H170">
            <v>119</v>
          </cell>
          <cell r="I170">
            <v>1630.96</v>
          </cell>
        </row>
        <row r="175">
          <cell r="C175">
            <v>108068</v>
          </cell>
        </row>
      </sheetData>
      <sheetData sheetId="2">
        <row r="11">
          <cell r="C11">
            <v>53423</v>
          </cell>
          <cell r="D11">
            <v>302955.57</v>
          </cell>
          <cell r="J11">
            <v>2610</v>
          </cell>
          <cell r="K11">
            <v>130950.44</v>
          </cell>
        </row>
        <row r="12">
          <cell r="C12">
            <v>4253</v>
          </cell>
          <cell r="D12">
            <v>45565.61</v>
          </cell>
          <cell r="J12">
            <v>188</v>
          </cell>
          <cell r="K12">
            <v>8827.11</v>
          </cell>
        </row>
        <row r="13">
          <cell r="C13">
            <v>181</v>
          </cell>
          <cell r="D13">
            <v>4246.5200000000004</v>
          </cell>
          <cell r="J13">
            <v>28</v>
          </cell>
          <cell r="K13">
            <v>2623.15</v>
          </cell>
        </row>
        <row r="14">
          <cell r="C14">
            <v>684</v>
          </cell>
          <cell r="D14">
            <v>583.47</v>
          </cell>
          <cell r="J14">
            <v>5</v>
          </cell>
          <cell r="K14">
            <v>298.27999999999997</v>
          </cell>
        </row>
        <row r="15">
          <cell r="C15">
            <v>221</v>
          </cell>
          <cell r="D15">
            <v>933.8</v>
          </cell>
          <cell r="J15">
            <v>6</v>
          </cell>
          <cell r="K15">
            <v>566.59</v>
          </cell>
        </row>
        <row r="16">
          <cell r="C16">
            <v>5721</v>
          </cell>
          <cell r="D16">
            <v>9987.74</v>
          </cell>
          <cell r="J16">
            <v>46</v>
          </cell>
          <cell r="K16">
            <v>3854.5</v>
          </cell>
        </row>
        <row r="17">
          <cell r="C17">
            <v>1066</v>
          </cell>
          <cell r="D17">
            <v>323.3</v>
          </cell>
          <cell r="J17">
            <v>4</v>
          </cell>
          <cell r="K17">
            <v>255.87</v>
          </cell>
        </row>
        <row r="18">
          <cell r="C18">
            <v>0</v>
          </cell>
          <cell r="D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24031</v>
          </cell>
          <cell r="D25">
            <v>105548.97</v>
          </cell>
          <cell r="J25">
            <v>58</v>
          </cell>
          <cell r="K25">
            <v>9918.11</v>
          </cell>
        </row>
        <row r="26">
          <cell r="C26">
            <v>591</v>
          </cell>
          <cell r="D26">
            <v>9619.7800000000007</v>
          </cell>
          <cell r="J26">
            <v>34</v>
          </cell>
          <cell r="K26">
            <v>8311.17</v>
          </cell>
        </row>
        <row r="27">
          <cell r="C27">
            <v>67</v>
          </cell>
          <cell r="D27">
            <v>1052.3399999999999</v>
          </cell>
          <cell r="J27">
            <v>16</v>
          </cell>
          <cell r="K27">
            <v>3818.53</v>
          </cell>
        </row>
        <row r="28">
          <cell r="C28">
            <v>3</v>
          </cell>
          <cell r="D28">
            <v>16.61</v>
          </cell>
          <cell r="J28">
            <v>0</v>
          </cell>
          <cell r="K28">
            <v>0</v>
          </cell>
        </row>
        <row r="29">
          <cell r="C29">
            <v>11</v>
          </cell>
          <cell r="D29">
            <v>60.9</v>
          </cell>
          <cell r="J29">
            <v>0</v>
          </cell>
          <cell r="K29">
            <v>0</v>
          </cell>
        </row>
        <row r="30">
          <cell r="C30">
            <v>578</v>
          </cell>
          <cell r="D30">
            <v>1013.5</v>
          </cell>
          <cell r="J30">
            <v>1</v>
          </cell>
          <cell r="K30">
            <v>69.430000000000007</v>
          </cell>
        </row>
        <row r="31">
          <cell r="C31">
            <v>550</v>
          </cell>
          <cell r="D31">
            <v>2819.65</v>
          </cell>
          <cell r="J31">
            <v>3</v>
          </cell>
          <cell r="K31">
            <v>439.9</v>
          </cell>
        </row>
        <row r="32">
          <cell r="C32">
            <v>3</v>
          </cell>
          <cell r="D32">
            <v>16.61</v>
          </cell>
          <cell r="J32">
            <v>0</v>
          </cell>
          <cell r="K32">
            <v>0</v>
          </cell>
        </row>
        <row r="34">
          <cell r="C34">
            <v>6287</v>
          </cell>
          <cell r="D34">
            <v>22114.74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17327</v>
          </cell>
        </row>
        <row r="11">
          <cell r="P11">
            <v>0</v>
          </cell>
        </row>
        <row r="12">
          <cell r="P12">
            <v>14383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2360</v>
          </cell>
        </row>
        <row r="20">
          <cell r="P20">
            <v>1366</v>
          </cell>
        </row>
        <row r="26">
          <cell r="P26">
            <v>355762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486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3735</v>
          </cell>
        </row>
      </sheetData>
      <sheetData sheetId="5">
        <row r="10">
          <cell r="G10">
            <v>7757.18</v>
          </cell>
        </row>
        <row r="11">
          <cell r="G11">
            <v>0</v>
          </cell>
        </row>
        <row r="12">
          <cell r="G12">
            <v>79.290000000000006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48.76</v>
          </cell>
        </row>
        <row r="20">
          <cell r="G20">
            <v>48.76</v>
          </cell>
        </row>
        <row r="26">
          <cell r="G26">
            <v>146465.62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49.34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814.65</v>
          </cell>
        </row>
        <row r="41">
          <cell r="C41">
            <v>358707.37</v>
          </cell>
          <cell r="D41">
            <v>0</v>
          </cell>
          <cell r="E41">
            <v>214210.73</v>
          </cell>
          <cell r="G41">
            <v>155263.6</v>
          </cell>
          <cell r="I41">
            <v>2691.81</v>
          </cell>
          <cell r="K41">
            <v>1704.83</v>
          </cell>
          <cell r="M41">
            <v>0</v>
          </cell>
        </row>
      </sheetData>
      <sheetData sheetId="6">
        <row r="9">
          <cell r="C9">
            <v>331</v>
          </cell>
          <cell r="D9">
            <v>1928</v>
          </cell>
        </row>
        <row r="18">
          <cell r="C18">
            <v>62518</v>
          </cell>
          <cell r="D18">
            <v>316706</v>
          </cell>
          <cell r="E18">
            <v>96172</v>
          </cell>
        </row>
        <row r="19">
          <cell r="C19">
            <v>1215</v>
          </cell>
          <cell r="D19">
            <v>6585</v>
          </cell>
          <cell r="E19">
            <v>2258</v>
          </cell>
        </row>
        <row r="20">
          <cell r="C20">
            <v>374</v>
          </cell>
          <cell r="D20">
            <v>177</v>
          </cell>
          <cell r="E20">
            <v>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43630</v>
          </cell>
          <cell r="D29">
            <v>231720</v>
          </cell>
          <cell r="E29">
            <v>60818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82726</v>
          </cell>
          <cell r="D10">
            <v>49847</v>
          </cell>
          <cell r="F10">
            <v>553</v>
          </cell>
          <cell r="G10">
            <v>21748</v>
          </cell>
          <cell r="H10">
            <v>23</v>
          </cell>
          <cell r="I10">
            <v>1366</v>
          </cell>
        </row>
        <row r="20">
          <cell r="C20">
            <v>694</v>
          </cell>
          <cell r="D20">
            <v>136481</v>
          </cell>
          <cell r="F20">
            <v>4999</v>
          </cell>
          <cell r="G20">
            <v>60238</v>
          </cell>
          <cell r="H20">
            <v>33</v>
          </cell>
          <cell r="I20">
            <v>210</v>
          </cell>
        </row>
        <row r="24">
          <cell r="C24">
            <v>2991</v>
          </cell>
          <cell r="D24">
            <v>93536</v>
          </cell>
          <cell r="F24">
            <v>480</v>
          </cell>
          <cell r="G24">
            <v>41310</v>
          </cell>
          <cell r="H24">
            <v>143</v>
          </cell>
          <cell r="I24">
            <v>8388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3</v>
          </cell>
          <cell r="D33">
            <v>66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143</v>
          </cell>
          <cell r="D36">
            <v>10976</v>
          </cell>
          <cell r="F36">
            <v>11</v>
          </cell>
          <cell r="G36">
            <v>163</v>
          </cell>
          <cell r="H36">
            <v>1</v>
          </cell>
          <cell r="I36">
            <v>25</v>
          </cell>
        </row>
        <row r="40">
          <cell r="C40">
            <v>4044</v>
          </cell>
          <cell r="D40">
            <v>50877</v>
          </cell>
          <cell r="F40">
            <v>18</v>
          </cell>
          <cell r="G40">
            <v>14302</v>
          </cell>
          <cell r="H40">
            <v>9</v>
          </cell>
          <cell r="I40">
            <v>12586</v>
          </cell>
        </row>
        <row r="56">
          <cell r="C56">
            <v>2276</v>
          </cell>
          <cell r="D56">
            <v>187330</v>
          </cell>
          <cell r="F56">
            <v>244</v>
          </cell>
          <cell r="G56">
            <v>48882</v>
          </cell>
          <cell r="H56">
            <v>34</v>
          </cell>
          <cell r="I56">
            <v>5227</v>
          </cell>
        </row>
        <row r="88">
          <cell r="C88">
            <v>148718</v>
          </cell>
          <cell r="D88">
            <v>836068</v>
          </cell>
          <cell r="F88">
            <v>4112</v>
          </cell>
          <cell r="G88">
            <v>310632</v>
          </cell>
          <cell r="H88">
            <v>1195</v>
          </cell>
          <cell r="I88">
            <v>128888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168</v>
          </cell>
          <cell r="D128">
            <v>758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1989</v>
          </cell>
          <cell r="D132">
            <v>40864</v>
          </cell>
          <cell r="F132">
            <v>11</v>
          </cell>
          <cell r="G132">
            <v>1826</v>
          </cell>
          <cell r="H132">
            <v>26</v>
          </cell>
          <cell r="I132">
            <v>18167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18</v>
          </cell>
          <cell r="D161">
            <v>10522</v>
          </cell>
          <cell r="F161">
            <v>1</v>
          </cell>
          <cell r="G161">
            <v>294</v>
          </cell>
          <cell r="H161">
            <v>3</v>
          </cell>
          <cell r="I161">
            <v>3700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44268</v>
          </cell>
          <cell r="D170">
            <v>20782</v>
          </cell>
          <cell r="F170">
            <v>239</v>
          </cell>
          <cell r="G170">
            <v>3859</v>
          </cell>
          <cell r="H170">
            <v>67</v>
          </cell>
          <cell r="I170">
            <v>901</v>
          </cell>
        </row>
        <row r="175">
          <cell r="C175">
            <v>200777</v>
          </cell>
        </row>
      </sheetData>
      <sheetData sheetId="2">
        <row r="11">
          <cell r="C11">
            <v>84170</v>
          </cell>
          <cell r="D11">
            <v>491166</v>
          </cell>
          <cell r="J11">
            <v>3418</v>
          </cell>
          <cell r="K11">
            <v>231088</v>
          </cell>
        </row>
        <row r="12">
          <cell r="C12">
            <v>9345</v>
          </cell>
          <cell r="D12">
            <v>98451</v>
          </cell>
          <cell r="J12">
            <v>393</v>
          </cell>
          <cell r="K12">
            <v>25816</v>
          </cell>
        </row>
        <row r="13">
          <cell r="C13">
            <v>474</v>
          </cell>
          <cell r="D13">
            <v>11849</v>
          </cell>
          <cell r="J13">
            <v>81</v>
          </cell>
          <cell r="K13">
            <v>12156</v>
          </cell>
        </row>
        <row r="14">
          <cell r="C14">
            <v>965</v>
          </cell>
          <cell r="D14">
            <v>772</v>
          </cell>
          <cell r="J14">
            <v>7</v>
          </cell>
          <cell r="K14">
            <v>1849</v>
          </cell>
        </row>
        <row r="15">
          <cell r="C15">
            <v>70</v>
          </cell>
          <cell r="D15">
            <v>233</v>
          </cell>
          <cell r="J15">
            <v>2</v>
          </cell>
          <cell r="K15">
            <v>163</v>
          </cell>
        </row>
        <row r="16">
          <cell r="C16">
            <v>7702</v>
          </cell>
          <cell r="D16">
            <v>13247</v>
          </cell>
          <cell r="J16">
            <v>41</v>
          </cell>
          <cell r="K16">
            <v>2365</v>
          </cell>
        </row>
        <row r="17">
          <cell r="C17">
            <v>1859</v>
          </cell>
          <cell r="D17">
            <v>573</v>
          </cell>
          <cell r="J17">
            <v>3</v>
          </cell>
          <cell r="K17">
            <v>100</v>
          </cell>
        </row>
        <row r="18">
          <cell r="C18">
            <v>307</v>
          </cell>
          <cell r="D18">
            <v>1148</v>
          </cell>
          <cell r="J18">
            <v>15</v>
          </cell>
          <cell r="K18">
            <v>1364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39843</v>
          </cell>
          <cell r="D25">
            <v>179253</v>
          </cell>
          <cell r="J25">
            <v>81</v>
          </cell>
          <cell r="K25">
            <v>16648</v>
          </cell>
        </row>
        <row r="26">
          <cell r="C26">
            <v>1038</v>
          </cell>
          <cell r="D26">
            <v>17444</v>
          </cell>
          <cell r="J26">
            <v>53</v>
          </cell>
          <cell r="K26">
            <v>11433</v>
          </cell>
        </row>
        <row r="27">
          <cell r="C27">
            <v>160</v>
          </cell>
          <cell r="D27">
            <v>2713</v>
          </cell>
          <cell r="J27">
            <v>8</v>
          </cell>
          <cell r="K27">
            <v>1026</v>
          </cell>
        </row>
        <row r="28">
          <cell r="C28">
            <v>8</v>
          </cell>
          <cell r="D28">
            <v>44</v>
          </cell>
          <cell r="J28">
            <v>0</v>
          </cell>
          <cell r="K28">
            <v>0</v>
          </cell>
        </row>
        <row r="29">
          <cell r="C29">
            <v>26</v>
          </cell>
          <cell r="D29">
            <v>138</v>
          </cell>
          <cell r="J29">
            <v>0</v>
          </cell>
          <cell r="K29">
            <v>0</v>
          </cell>
        </row>
        <row r="30">
          <cell r="C30">
            <v>789</v>
          </cell>
          <cell r="D30">
            <v>1444</v>
          </cell>
          <cell r="J30">
            <v>0</v>
          </cell>
          <cell r="K30">
            <v>0</v>
          </cell>
        </row>
        <row r="31">
          <cell r="C31">
            <v>1016</v>
          </cell>
          <cell r="D31">
            <v>5582</v>
          </cell>
          <cell r="J31">
            <v>3</v>
          </cell>
          <cell r="K31">
            <v>1904</v>
          </cell>
        </row>
        <row r="32">
          <cell r="C32">
            <v>2</v>
          </cell>
          <cell r="D32">
            <v>11</v>
          </cell>
          <cell r="J32">
            <v>0</v>
          </cell>
          <cell r="K32">
            <v>0</v>
          </cell>
        </row>
        <row r="34">
          <cell r="C34">
            <v>671</v>
          </cell>
          <cell r="D34">
            <v>3851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34893</v>
          </cell>
        </row>
        <row r="11">
          <cell r="P11">
            <v>95537</v>
          </cell>
        </row>
        <row r="12">
          <cell r="P12">
            <v>65475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46</v>
          </cell>
        </row>
        <row r="16">
          <cell r="P16">
            <v>7683</v>
          </cell>
        </row>
        <row r="17">
          <cell r="P17">
            <v>35614</v>
          </cell>
        </row>
        <row r="20">
          <cell r="P20">
            <v>131131</v>
          </cell>
        </row>
        <row r="26">
          <cell r="P26">
            <v>643104</v>
          </cell>
        </row>
        <row r="33">
          <cell r="P33">
            <v>0</v>
          </cell>
        </row>
        <row r="34">
          <cell r="P34">
            <v>531</v>
          </cell>
        </row>
        <row r="35">
          <cell r="P35">
            <v>28605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7365</v>
          </cell>
        </row>
        <row r="39">
          <cell r="P39">
            <v>0</v>
          </cell>
        </row>
        <row r="40">
          <cell r="P40">
            <v>14547</v>
          </cell>
        </row>
      </sheetData>
      <sheetData sheetId="5">
        <row r="10">
          <cell r="G10">
            <v>11477</v>
          </cell>
        </row>
        <row r="11">
          <cell r="G11">
            <v>6126</v>
          </cell>
        </row>
        <row r="12">
          <cell r="G12">
            <v>8199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6293</v>
          </cell>
        </row>
        <row r="20">
          <cell r="G20">
            <v>2614</v>
          </cell>
        </row>
        <row r="26">
          <cell r="G26">
            <v>275401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5248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737</v>
          </cell>
        </row>
        <row r="41">
          <cell r="C41">
            <v>885375</v>
          </cell>
          <cell r="D41">
            <v>21</v>
          </cell>
          <cell r="E41">
            <v>179458</v>
          </cell>
          <cell r="G41">
            <v>316095</v>
          </cell>
          <cell r="I41">
            <v>9911</v>
          </cell>
          <cell r="K41">
            <v>6630</v>
          </cell>
          <cell r="M41">
            <v>0</v>
          </cell>
        </row>
      </sheetData>
      <sheetData sheetId="6">
        <row r="9">
          <cell r="C9">
            <v>17717</v>
          </cell>
          <cell r="D9">
            <v>171348</v>
          </cell>
        </row>
        <row r="18">
          <cell r="C18">
            <v>86081</v>
          </cell>
          <cell r="D18">
            <v>742356</v>
          </cell>
          <cell r="E18">
            <v>194510</v>
          </cell>
        </row>
        <row r="19">
          <cell r="C19">
            <v>15772</v>
          </cell>
          <cell r="D19">
            <v>78843</v>
          </cell>
          <cell r="E19">
            <v>23806</v>
          </cell>
        </row>
        <row r="20">
          <cell r="C20">
            <v>2392</v>
          </cell>
          <cell r="D20">
            <v>1019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12</v>
          </cell>
          <cell r="D22">
            <v>137</v>
          </cell>
          <cell r="E22">
            <v>0</v>
          </cell>
        </row>
        <row r="29">
          <cell r="C29">
            <v>78803</v>
          </cell>
          <cell r="D29">
            <v>444404</v>
          </cell>
          <cell r="E29">
            <v>128381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52634</v>
          </cell>
          <cell r="D10">
            <v>35446</v>
          </cell>
          <cell r="F10">
            <v>344</v>
          </cell>
          <cell r="G10">
            <v>18182</v>
          </cell>
          <cell r="H10">
            <v>71</v>
          </cell>
          <cell r="I10">
            <v>1303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4740</v>
          </cell>
          <cell r="D24">
            <v>105904</v>
          </cell>
          <cell r="F24">
            <v>532</v>
          </cell>
          <cell r="G24">
            <v>44389</v>
          </cell>
          <cell r="H24">
            <v>194</v>
          </cell>
          <cell r="I24">
            <v>22284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2</v>
          </cell>
          <cell r="D30">
            <v>562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14</v>
          </cell>
          <cell r="D33">
            <v>301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147</v>
          </cell>
          <cell r="D36">
            <v>2674.03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5810</v>
          </cell>
          <cell r="D40">
            <v>52103</v>
          </cell>
          <cell r="F40">
            <v>48</v>
          </cell>
          <cell r="G40">
            <v>4693</v>
          </cell>
          <cell r="H40">
            <v>37</v>
          </cell>
          <cell r="I40">
            <v>17620</v>
          </cell>
        </row>
        <row r="56">
          <cell r="C56">
            <v>2849</v>
          </cell>
          <cell r="D56">
            <v>26748.26</v>
          </cell>
          <cell r="F56">
            <v>95</v>
          </cell>
          <cell r="G56">
            <v>6725</v>
          </cell>
          <cell r="H56">
            <v>45</v>
          </cell>
          <cell r="I56">
            <v>927</v>
          </cell>
        </row>
        <row r="88">
          <cell r="C88">
            <v>81107</v>
          </cell>
          <cell r="D88">
            <v>443141</v>
          </cell>
          <cell r="F88">
            <v>1967</v>
          </cell>
          <cell r="G88">
            <v>136446</v>
          </cell>
          <cell r="H88">
            <v>1025</v>
          </cell>
          <cell r="I88">
            <v>183608</v>
          </cell>
        </row>
        <row r="124">
          <cell r="C124">
            <v>59</v>
          </cell>
          <cell r="D124">
            <v>1934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225</v>
          </cell>
          <cell r="D128">
            <v>772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3452</v>
          </cell>
          <cell r="D132">
            <v>19984</v>
          </cell>
          <cell r="F132">
            <v>42</v>
          </cell>
          <cell r="G132">
            <v>3854</v>
          </cell>
          <cell r="H132">
            <v>34</v>
          </cell>
          <cell r="I132">
            <v>5204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28244</v>
          </cell>
          <cell r="D170">
            <v>21740</v>
          </cell>
          <cell r="F170">
            <v>248</v>
          </cell>
          <cell r="G170">
            <v>4826</v>
          </cell>
          <cell r="H170">
            <v>168</v>
          </cell>
          <cell r="I170">
            <v>3499</v>
          </cell>
        </row>
        <row r="175">
          <cell r="C175">
            <v>122829</v>
          </cell>
        </row>
      </sheetData>
      <sheetData sheetId="2">
        <row r="11">
          <cell r="C11">
            <v>46047</v>
          </cell>
          <cell r="D11">
            <v>253825</v>
          </cell>
          <cell r="J11">
            <v>1631</v>
          </cell>
          <cell r="K11">
            <v>93446</v>
          </cell>
        </row>
        <row r="12">
          <cell r="C12">
            <v>4461</v>
          </cell>
          <cell r="D12">
            <v>51451</v>
          </cell>
          <cell r="J12">
            <v>172</v>
          </cell>
          <cell r="K12">
            <v>13497</v>
          </cell>
        </row>
        <row r="13">
          <cell r="C13">
            <v>390</v>
          </cell>
          <cell r="D13">
            <v>8120</v>
          </cell>
          <cell r="J13">
            <v>21</v>
          </cell>
          <cell r="K13">
            <v>1130</v>
          </cell>
        </row>
        <row r="14">
          <cell r="C14">
            <v>832</v>
          </cell>
          <cell r="D14">
            <v>717</v>
          </cell>
          <cell r="J14">
            <v>7</v>
          </cell>
          <cell r="K14">
            <v>197</v>
          </cell>
        </row>
        <row r="15">
          <cell r="C15">
            <v>223</v>
          </cell>
          <cell r="D15">
            <v>812</v>
          </cell>
          <cell r="J15">
            <v>12</v>
          </cell>
          <cell r="K15">
            <v>756</v>
          </cell>
        </row>
        <row r="16">
          <cell r="C16">
            <v>5025</v>
          </cell>
          <cell r="D16">
            <v>7738</v>
          </cell>
          <cell r="J16">
            <v>24</v>
          </cell>
          <cell r="K16">
            <v>2129</v>
          </cell>
        </row>
        <row r="17">
          <cell r="C17">
            <v>1355</v>
          </cell>
          <cell r="D17">
            <v>444</v>
          </cell>
          <cell r="J17">
            <v>3</v>
          </cell>
          <cell r="K17">
            <v>64</v>
          </cell>
        </row>
        <row r="18">
          <cell r="C18">
            <v>291</v>
          </cell>
          <cell r="D18">
            <v>1315</v>
          </cell>
          <cell r="J18">
            <v>28</v>
          </cell>
          <cell r="K18">
            <v>1685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19870</v>
          </cell>
          <cell r="D25">
            <v>89862</v>
          </cell>
          <cell r="J25">
            <v>27</v>
          </cell>
          <cell r="K25">
            <v>7575</v>
          </cell>
        </row>
        <row r="26">
          <cell r="C26">
            <v>821</v>
          </cell>
          <cell r="D26">
            <v>13021</v>
          </cell>
          <cell r="J26">
            <v>35</v>
          </cell>
          <cell r="K26">
            <v>14486</v>
          </cell>
        </row>
        <row r="27">
          <cell r="C27">
            <v>93</v>
          </cell>
          <cell r="D27">
            <v>1536</v>
          </cell>
          <cell r="J27">
            <v>3</v>
          </cell>
          <cell r="K27">
            <v>278</v>
          </cell>
        </row>
        <row r="28">
          <cell r="C28">
            <v>2</v>
          </cell>
          <cell r="D28">
            <v>34</v>
          </cell>
          <cell r="J28">
            <v>0</v>
          </cell>
          <cell r="K28">
            <v>0</v>
          </cell>
        </row>
        <row r="29">
          <cell r="C29">
            <v>15</v>
          </cell>
          <cell r="D29">
            <v>78</v>
          </cell>
          <cell r="J29">
            <v>0</v>
          </cell>
          <cell r="K29">
            <v>0</v>
          </cell>
        </row>
        <row r="30">
          <cell r="C30">
            <v>423</v>
          </cell>
          <cell r="D30">
            <v>753</v>
          </cell>
          <cell r="J30">
            <v>0</v>
          </cell>
          <cell r="K30">
            <v>0</v>
          </cell>
        </row>
        <row r="31">
          <cell r="C31">
            <v>774</v>
          </cell>
          <cell r="D31">
            <v>4069</v>
          </cell>
          <cell r="J31">
            <v>1</v>
          </cell>
          <cell r="K31">
            <v>96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129</v>
          </cell>
          <cell r="D34">
            <v>842</v>
          </cell>
          <cell r="J34">
            <v>1</v>
          </cell>
          <cell r="K34">
            <v>15</v>
          </cell>
        </row>
        <row r="35">
          <cell r="C35">
            <v>1</v>
          </cell>
          <cell r="D35">
            <v>14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9</v>
          </cell>
          <cell r="D39">
            <v>38</v>
          </cell>
          <cell r="J39">
            <v>0</v>
          </cell>
          <cell r="K39">
            <v>0</v>
          </cell>
        </row>
        <row r="40">
          <cell r="C40">
            <v>5</v>
          </cell>
          <cell r="D40">
            <v>6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25424</v>
          </cell>
        </row>
        <row r="11">
          <cell r="P11">
            <v>0</v>
          </cell>
        </row>
        <row r="12">
          <cell r="P12">
            <v>67604</v>
          </cell>
        </row>
        <row r="13">
          <cell r="P13">
            <v>0</v>
          </cell>
        </row>
        <row r="14">
          <cell r="P14">
            <v>393</v>
          </cell>
        </row>
        <row r="15">
          <cell r="P15">
            <v>211</v>
          </cell>
        </row>
        <row r="16">
          <cell r="P16">
            <v>1790</v>
          </cell>
        </row>
        <row r="17">
          <cell r="P17">
            <v>33866</v>
          </cell>
        </row>
        <row r="20">
          <cell r="P20">
            <v>18920</v>
          </cell>
        </row>
        <row r="26">
          <cell r="P26">
            <v>327395</v>
          </cell>
        </row>
        <row r="33">
          <cell r="P33">
            <v>1450</v>
          </cell>
        </row>
        <row r="34">
          <cell r="P34">
            <v>502</v>
          </cell>
        </row>
        <row r="35">
          <cell r="P35">
            <v>13989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11764</v>
          </cell>
        </row>
      </sheetData>
      <sheetData sheetId="5">
        <row r="10">
          <cell r="G10">
            <v>13894.55</v>
          </cell>
        </row>
        <row r="11">
          <cell r="G11">
            <v>0</v>
          </cell>
        </row>
        <row r="12">
          <cell r="G12">
            <v>12402.92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10952.71</v>
          </cell>
        </row>
        <row r="20">
          <cell r="G20">
            <v>1833.91</v>
          </cell>
        </row>
        <row r="26">
          <cell r="G26">
            <v>243729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9971.41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4758.59</v>
          </cell>
        </row>
        <row r="41">
          <cell r="C41">
            <v>459381.95</v>
          </cell>
          <cell r="D41">
            <v>2698.01</v>
          </cell>
          <cell r="E41">
            <v>234445</v>
          </cell>
          <cell r="G41">
            <v>297543.09000000003</v>
          </cell>
          <cell r="I41">
            <v>8657.09</v>
          </cell>
          <cell r="K41">
            <v>7297.3</v>
          </cell>
          <cell r="M41">
            <v>39272.199999999997</v>
          </cell>
        </row>
      </sheetData>
      <sheetData sheetId="6">
        <row r="9">
          <cell r="C9">
            <v>82395</v>
          </cell>
          <cell r="D9">
            <v>472652</v>
          </cell>
        </row>
        <row r="18">
          <cell r="C18">
            <v>25967</v>
          </cell>
          <cell r="D18">
            <v>164682</v>
          </cell>
          <cell r="E18">
            <v>43004.3</v>
          </cell>
        </row>
        <row r="19">
          <cell r="C19">
            <v>3130</v>
          </cell>
          <cell r="D19">
            <v>15295</v>
          </cell>
          <cell r="E19">
            <v>5230.59</v>
          </cell>
        </row>
        <row r="20">
          <cell r="C20">
            <v>1272</v>
          </cell>
          <cell r="D20">
            <v>899</v>
          </cell>
          <cell r="E20">
            <v>242.56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918</v>
          </cell>
          <cell r="D22">
            <v>3567</v>
          </cell>
          <cell r="E22">
            <v>0</v>
          </cell>
        </row>
        <row r="29">
          <cell r="C29">
            <v>9147</v>
          </cell>
          <cell r="D29">
            <v>54214</v>
          </cell>
          <cell r="E29">
            <v>10097.86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 refreshError="1"/>
      <sheetData sheetId="1">
        <row r="10">
          <cell r="C10">
            <v>52402</v>
          </cell>
          <cell r="D10">
            <v>60673.37</v>
          </cell>
          <cell r="F10">
            <v>376</v>
          </cell>
          <cell r="G10">
            <v>19296.73</v>
          </cell>
          <cell r="H10">
            <v>76</v>
          </cell>
          <cell r="I10">
            <v>7075.32</v>
          </cell>
        </row>
        <row r="20">
          <cell r="C20">
            <v>5724</v>
          </cell>
          <cell r="D20">
            <v>111508.08</v>
          </cell>
          <cell r="F20">
            <v>4764</v>
          </cell>
          <cell r="G20">
            <v>49121.86</v>
          </cell>
          <cell r="H20">
            <v>182</v>
          </cell>
          <cell r="I20">
            <v>2947.22</v>
          </cell>
        </row>
        <row r="24">
          <cell r="C24">
            <v>3350</v>
          </cell>
          <cell r="D24">
            <v>102320.72</v>
          </cell>
          <cell r="F24">
            <v>590</v>
          </cell>
          <cell r="G24">
            <v>59276.480000000003</v>
          </cell>
          <cell r="H24">
            <v>158</v>
          </cell>
          <cell r="I24">
            <v>29592.68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2</v>
          </cell>
          <cell r="D33">
            <v>97.23</v>
          </cell>
          <cell r="F33">
            <v>1</v>
          </cell>
          <cell r="G33">
            <v>1854.17</v>
          </cell>
          <cell r="H33">
            <v>0</v>
          </cell>
          <cell r="I33">
            <v>0</v>
          </cell>
        </row>
        <row r="36">
          <cell r="C36">
            <v>162</v>
          </cell>
          <cell r="D36">
            <v>5416.48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8071</v>
          </cell>
          <cell r="D40">
            <v>68751.19</v>
          </cell>
          <cell r="F40">
            <v>22</v>
          </cell>
          <cell r="G40">
            <v>5486.73</v>
          </cell>
          <cell r="H40">
            <v>17</v>
          </cell>
          <cell r="I40">
            <v>8460.2099999999991</v>
          </cell>
        </row>
        <row r="56">
          <cell r="C56">
            <v>8286</v>
          </cell>
          <cell r="D56">
            <v>89279.66</v>
          </cell>
          <cell r="F56">
            <v>109</v>
          </cell>
          <cell r="G56">
            <v>3698.98</v>
          </cell>
          <cell r="H56">
            <v>29</v>
          </cell>
          <cell r="I56">
            <v>3534.84</v>
          </cell>
        </row>
        <row r="88">
          <cell r="C88">
            <v>52758</v>
          </cell>
          <cell r="D88">
            <v>301014.5</v>
          </cell>
          <cell r="F88">
            <v>1460</v>
          </cell>
          <cell r="G88">
            <v>139772.91</v>
          </cell>
          <cell r="H88">
            <v>701</v>
          </cell>
          <cell r="I88">
            <v>198936.8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100</v>
          </cell>
          <cell r="D128">
            <v>453.87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2669</v>
          </cell>
          <cell r="D132">
            <v>48803.83</v>
          </cell>
          <cell r="F132">
            <v>5</v>
          </cell>
          <cell r="G132">
            <v>191.2</v>
          </cell>
          <cell r="H132">
            <v>8</v>
          </cell>
          <cell r="I132">
            <v>7596.79</v>
          </cell>
        </row>
        <row r="153">
          <cell r="C153">
            <v>3377</v>
          </cell>
          <cell r="D153">
            <v>69545.86</v>
          </cell>
          <cell r="F153">
            <v>0</v>
          </cell>
          <cell r="G153">
            <v>2</v>
          </cell>
          <cell r="H153">
            <v>1</v>
          </cell>
          <cell r="I153">
            <v>50.38</v>
          </cell>
        </row>
        <row r="158">
          <cell r="C158">
            <v>4</v>
          </cell>
          <cell r="D158">
            <v>143.91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27</v>
          </cell>
          <cell r="D161">
            <v>15225.12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17618</v>
          </cell>
          <cell r="D170">
            <v>14024.54</v>
          </cell>
          <cell r="F170">
            <v>79</v>
          </cell>
          <cell r="G170">
            <v>1265.3399999999999</v>
          </cell>
          <cell r="H170">
            <v>92</v>
          </cell>
          <cell r="I170">
            <v>2928.27</v>
          </cell>
        </row>
        <row r="175">
          <cell r="C175">
            <v>111610</v>
          </cell>
        </row>
      </sheetData>
      <sheetData sheetId="2">
        <row r="11">
          <cell r="C11">
            <v>27217</v>
          </cell>
          <cell r="D11">
            <v>156852.32999999999</v>
          </cell>
          <cell r="J11">
            <v>1194</v>
          </cell>
          <cell r="K11">
            <v>92273.69</v>
          </cell>
        </row>
        <row r="12">
          <cell r="C12">
            <v>3092</v>
          </cell>
          <cell r="D12">
            <v>37137.99</v>
          </cell>
          <cell r="J12">
            <v>121</v>
          </cell>
          <cell r="K12">
            <v>7776.4</v>
          </cell>
        </row>
        <row r="13">
          <cell r="C13">
            <v>165</v>
          </cell>
          <cell r="D13">
            <v>3606.8</v>
          </cell>
          <cell r="J13">
            <v>8</v>
          </cell>
          <cell r="K13">
            <v>394.66</v>
          </cell>
        </row>
        <row r="14">
          <cell r="C14">
            <v>426</v>
          </cell>
          <cell r="D14">
            <v>364.05</v>
          </cell>
          <cell r="J14">
            <v>3</v>
          </cell>
          <cell r="K14">
            <v>99.25</v>
          </cell>
        </row>
        <row r="15">
          <cell r="C15">
            <v>23</v>
          </cell>
          <cell r="D15">
            <v>76.459999999999994</v>
          </cell>
          <cell r="J15">
            <v>2</v>
          </cell>
          <cell r="K15">
            <v>97.13</v>
          </cell>
        </row>
        <row r="16">
          <cell r="C16">
            <v>2349</v>
          </cell>
          <cell r="D16">
            <v>3895.56</v>
          </cell>
          <cell r="J16">
            <v>15</v>
          </cell>
          <cell r="K16">
            <v>1033.6500000000001</v>
          </cell>
        </row>
        <row r="17">
          <cell r="C17">
            <v>802</v>
          </cell>
          <cell r="D17">
            <v>243.52</v>
          </cell>
          <cell r="J17">
            <v>3</v>
          </cell>
          <cell r="K17">
            <v>165.26</v>
          </cell>
        </row>
        <row r="18">
          <cell r="C18">
            <v>82</v>
          </cell>
          <cell r="D18">
            <v>306.27999999999997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12261</v>
          </cell>
          <cell r="D25">
            <v>60108.58</v>
          </cell>
          <cell r="J25">
            <v>60</v>
          </cell>
          <cell r="K25">
            <v>22859.81</v>
          </cell>
        </row>
        <row r="26">
          <cell r="C26">
            <v>625</v>
          </cell>
          <cell r="D26">
            <v>10709.01</v>
          </cell>
          <cell r="J26">
            <v>41</v>
          </cell>
          <cell r="K26">
            <v>11110.35</v>
          </cell>
        </row>
        <row r="27">
          <cell r="C27">
            <v>92</v>
          </cell>
          <cell r="D27">
            <v>1584.42</v>
          </cell>
          <cell r="J27">
            <v>9</v>
          </cell>
          <cell r="K27">
            <v>2784.57</v>
          </cell>
        </row>
        <row r="28">
          <cell r="C28">
            <v>10</v>
          </cell>
          <cell r="D28">
            <v>55.36</v>
          </cell>
          <cell r="J28">
            <v>0</v>
          </cell>
          <cell r="K28">
            <v>0</v>
          </cell>
        </row>
        <row r="29">
          <cell r="C29">
            <v>4</v>
          </cell>
          <cell r="D29">
            <v>22.14</v>
          </cell>
          <cell r="J29">
            <v>0</v>
          </cell>
          <cell r="K29">
            <v>0</v>
          </cell>
        </row>
        <row r="30">
          <cell r="C30">
            <v>242</v>
          </cell>
          <cell r="D30">
            <v>447.7</v>
          </cell>
          <cell r="J30">
            <v>0</v>
          </cell>
          <cell r="K30">
            <v>0</v>
          </cell>
        </row>
        <row r="31">
          <cell r="C31">
            <v>531</v>
          </cell>
          <cell r="D31">
            <v>2928.54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3814</v>
          </cell>
          <cell r="D34">
            <v>12806.7</v>
          </cell>
          <cell r="J34">
            <v>2</v>
          </cell>
          <cell r="K34">
            <v>312.72000000000003</v>
          </cell>
        </row>
        <row r="35">
          <cell r="C35">
            <v>21</v>
          </cell>
          <cell r="D35">
            <v>236.53</v>
          </cell>
          <cell r="J35">
            <v>0</v>
          </cell>
          <cell r="K35">
            <v>0</v>
          </cell>
        </row>
        <row r="36">
          <cell r="C36">
            <v>5</v>
          </cell>
          <cell r="D36">
            <v>84.36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19</v>
          </cell>
          <cell r="D38">
            <v>46.82</v>
          </cell>
          <cell r="J38">
            <v>0</v>
          </cell>
          <cell r="K38">
            <v>0</v>
          </cell>
        </row>
        <row r="39">
          <cell r="C39">
            <v>406</v>
          </cell>
          <cell r="D39">
            <v>1280.17</v>
          </cell>
          <cell r="J39">
            <v>0</v>
          </cell>
          <cell r="K39">
            <v>0</v>
          </cell>
        </row>
        <row r="40">
          <cell r="C40">
            <v>256</v>
          </cell>
          <cell r="D40">
            <v>473.54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43260.11</v>
          </cell>
        </row>
        <row r="11">
          <cell r="P11">
            <v>79170.73</v>
          </cell>
        </row>
        <row r="12">
          <cell r="P12">
            <v>70089.69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80.7</v>
          </cell>
        </row>
        <row r="16">
          <cell r="P16">
            <v>4495.68</v>
          </cell>
        </row>
        <row r="17">
          <cell r="P17">
            <v>39875.69</v>
          </cell>
        </row>
        <row r="20">
          <cell r="P20">
            <v>59817.38</v>
          </cell>
        </row>
        <row r="26">
          <cell r="P26">
            <v>231540.35</v>
          </cell>
        </row>
        <row r="33">
          <cell r="P33">
            <v>0</v>
          </cell>
        </row>
        <row r="34">
          <cell r="P34">
            <v>376.71</v>
          </cell>
        </row>
        <row r="35">
          <cell r="P35">
            <v>38491.58</v>
          </cell>
        </row>
        <row r="36">
          <cell r="P36">
            <v>52159.39</v>
          </cell>
        </row>
        <row r="37">
          <cell r="P37">
            <v>113.5</v>
          </cell>
        </row>
        <row r="38">
          <cell r="P38">
            <v>12008.05</v>
          </cell>
        </row>
        <row r="39">
          <cell r="P39">
            <v>0</v>
          </cell>
        </row>
        <row r="40">
          <cell r="P40">
            <v>8414.73</v>
          </cell>
        </row>
      </sheetData>
      <sheetData sheetId="5">
        <row r="10">
          <cell r="G10">
            <v>16571.45</v>
          </cell>
        </row>
        <row r="11">
          <cell r="G11">
            <v>2593.4899999999998</v>
          </cell>
        </row>
        <row r="12">
          <cell r="G12">
            <v>23698.71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254</v>
          </cell>
        </row>
        <row r="17">
          <cell r="G17">
            <v>3712.68</v>
          </cell>
        </row>
        <row r="20">
          <cell r="G20">
            <v>1532.42</v>
          </cell>
        </row>
        <row r="26">
          <cell r="G26">
            <v>194995.38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1752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838</v>
          </cell>
        </row>
        <row r="41">
          <cell r="C41">
            <v>586302.66</v>
          </cell>
          <cell r="D41">
            <v>2900.23</v>
          </cell>
          <cell r="E41">
            <v>261122.51</v>
          </cell>
          <cell r="G41">
            <v>245948.13</v>
          </cell>
          <cell r="I41">
            <v>13431.25</v>
          </cell>
          <cell r="K41">
            <v>25848.51</v>
          </cell>
          <cell r="M41">
            <v>0</v>
          </cell>
        </row>
      </sheetData>
      <sheetData sheetId="6">
        <row r="9">
          <cell r="C9">
            <v>4487</v>
          </cell>
          <cell r="D9">
            <v>50651.32</v>
          </cell>
        </row>
        <row r="18">
          <cell r="C18">
            <v>11043</v>
          </cell>
          <cell r="D18">
            <v>133478.95000000001</v>
          </cell>
          <cell r="E18">
            <v>29933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120</v>
          </cell>
          <cell r="D20">
            <v>35.58</v>
          </cell>
          <cell r="E20">
            <v>13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39762</v>
          </cell>
          <cell r="D22">
            <v>360341.95</v>
          </cell>
          <cell r="E22">
            <v>36913</v>
          </cell>
        </row>
        <row r="29">
          <cell r="C29">
            <v>56198</v>
          </cell>
          <cell r="D29">
            <v>342750.57</v>
          </cell>
          <cell r="E29">
            <v>1221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N4" sqref="N4:N21"/>
    </sheetView>
  </sheetViews>
  <sheetFormatPr defaultRowHeight="15" x14ac:dyDescent="0.25"/>
  <cols>
    <col min="1" max="1" width="3.85546875" customWidth="1"/>
    <col min="2" max="2" width="28.28515625" customWidth="1"/>
    <col min="3" max="3" width="11" bestFit="1" customWidth="1"/>
    <col min="4" max="4" width="9.5703125" bestFit="1" customWidth="1"/>
    <col min="8" max="8" width="9.85546875" bestFit="1" customWidth="1"/>
    <col min="10" max="10" width="10.28515625" bestFit="1" customWidth="1"/>
    <col min="14" max="14" width="9.85546875" bestFit="1" customWidth="1"/>
  </cols>
  <sheetData>
    <row r="1" spans="1:14" ht="24.75" customHeight="1" thickBot="1" x14ac:dyDescent="0.3">
      <c r="A1" s="151"/>
      <c r="B1" s="152"/>
      <c r="C1" s="423" t="s">
        <v>97</v>
      </c>
      <c r="D1" s="424"/>
      <c r="E1" s="424"/>
      <c r="F1" s="424"/>
      <c r="G1" s="424"/>
      <c r="H1" s="424"/>
      <c r="I1" s="424"/>
      <c r="J1" s="2"/>
      <c r="K1" s="2"/>
      <c r="L1" s="2"/>
      <c r="M1" s="2"/>
      <c r="N1" s="151" t="s">
        <v>36</v>
      </c>
    </row>
    <row r="2" spans="1:14" x14ac:dyDescent="0.25">
      <c r="A2" s="425" t="s">
        <v>0</v>
      </c>
      <c r="B2" s="427" t="s">
        <v>1</v>
      </c>
      <c r="C2" s="421" t="s">
        <v>2</v>
      </c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11" t="s">
        <v>3</v>
      </c>
    </row>
    <row r="3" spans="1:14" ht="15.75" thickBot="1" x14ac:dyDescent="0.3">
      <c r="A3" s="426"/>
      <c r="B3" s="428"/>
      <c r="C3" s="226" t="s">
        <v>69</v>
      </c>
      <c r="D3" s="225" t="s">
        <v>4</v>
      </c>
      <c r="E3" s="291" t="s">
        <v>5</v>
      </c>
      <c r="F3" s="296" t="s">
        <v>6</v>
      </c>
      <c r="G3" s="306" t="s">
        <v>8</v>
      </c>
      <c r="H3" s="310" t="s">
        <v>94</v>
      </c>
      <c r="I3" s="315" t="s">
        <v>9</v>
      </c>
      <c r="J3" s="314" t="s">
        <v>10</v>
      </c>
      <c r="K3" s="315" t="s">
        <v>93</v>
      </c>
      <c r="L3" s="314" t="s">
        <v>11</v>
      </c>
      <c r="M3" s="319" t="s">
        <v>96</v>
      </c>
      <c r="N3" s="412"/>
    </row>
    <row r="4" spans="1:14" x14ac:dyDescent="0.25">
      <c r="A4" s="5">
        <v>1</v>
      </c>
      <c r="B4" s="9" t="s">
        <v>12</v>
      </c>
      <c r="C4" s="142">
        <f>[1]STA_SP1_NO!$D$10</f>
        <v>113172.23</v>
      </c>
      <c r="D4" s="118">
        <f>[2]STA_SP1_NO!$D$10</f>
        <v>107392.95</v>
      </c>
      <c r="E4" s="292">
        <f>[3]STA_SP1_NO!$D$10</f>
        <v>41897</v>
      </c>
      <c r="F4" s="295">
        <f>[4]STA_SP1_NO!$D$10</f>
        <v>63954.53</v>
      </c>
      <c r="G4" s="307">
        <f>[5]STA_SP1_NO!$D$10</f>
        <v>80844</v>
      </c>
      <c r="H4" s="311">
        <f>[6]STA_SP1_NO!$D$10</f>
        <v>21658.67</v>
      </c>
      <c r="I4" s="316">
        <f>[7]STA_SP1_NO!$D$10</f>
        <v>49847</v>
      </c>
      <c r="J4" s="118">
        <f>[8]STA_SP1_NO!$D$10</f>
        <v>35446</v>
      </c>
      <c r="K4" s="316">
        <f>[9]STA_SP1_NO!$D$10</f>
        <v>60673.37</v>
      </c>
      <c r="L4" s="144">
        <f>[10]STA_SP1_NO!$D$10</f>
        <v>113284</v>
      </c>
      <c r="M4" s="148">
        <f>[11]STA_SP1_NO!$D$10</f>
        <v>1093.1400000000001</v>
      </c>
      <c r="N4" s="227">
        <f t="shared" ref="N4:N22" si="0">SUM(C4:M4)</f>
        <v>689262.89</v>
      </c>
    </row>
    <row r="5" spans="1:14" x14ac:dyDescent="0.25">
      <c r="A5" s="4">
        <v>2</v>
      </c>
      <c r="B5" s="10" t="s">
        <v>13</v>
      </c>
      <c r="C5" s="146">
        <f>[1]STA_SP1_NO!$D$20</f>
        <v>200238.8</v>
      </c>
      <c r="D5" s="118">
        <f>[2]STA_SP1_NO!$D$20</f>
        <v>224240.68</v>
      </c>
      <c r="E5" s="292">
        <f>[3]STA_SP1_NO!$D$20</f>
        <v>16735</v>
      </c>
      <c r="F5" s="294">
        <f>[4]STA_SP1_NO!$D$20</f>
        <v>96495.03</v>
      </c>
      <c r="G5" s="308">
        <f>[5]STA_SP1_NO!$D$20</f>
        <v>178302</v>
      </c>
      <c r="H5" s="311">
        <f>[6]STA_SP1_NO!$D$20</f>
        <v>0</v>
      </c>
      <c r="I5" s="316">
        <f>[7]STA_SP1_NO!$D$20</f>
        <v>136481</v>
      </c>
      <c r="J5" s="118">
        <f>[8]STA_SP1_NO!$D$20</f>
        <v>0</v>
      </c>
      <c r="K5" s="316">
        <f>[9]STA_SP1_NO!$D$20</f>
        <v>111508.08</v>
      </c>
      <c r="L5" s="144">
        <f>[10]STA_SP1_NO!$D$20</f>
        <v>244785</v>
      </c>
      <c r="M5" s="148">
        <f>[11]STA_SP1_NO!$D$20</f>
        <v>0</v>
      </c>
      <c r="N5" s="227">
        <f t="shared" si="0"/>
        <v>1208785.5899999999</v>
      </c>
    </row>
    <row r="6" spans="1:14" x14ac:dyDescent="0.25">
      <c r="A6" s="4">
        <v>3</v>
      </c>
      <c r="B6" s="10" t="s">
        <v>14</v>
      </c>
      <c r="C6" s="146">
        <f>[1]STA_SP1_NO!$D$24</f>
        <v>149561.49</v>
      </c>
      <c r="D6" s="118">
        <f>[2]STA_SP1_NO!$D$24</f>
        <v>152050.96</v>
      </c>
      <c r="E6" s="292">
        <f>[3]STA_SP1_NO!$D$24</f>
        <v>66181</v>
      </c>
      <c r="F6" s="294">
        <f>[4]STA_SP1_NO!$D$24</f>
        <v>206986.7</v>
      </c>
      <c r="G6" s="308">
        <f>[5]STA_SP1_NO!$D$24</f>
        <v>120024</v>
      </c>
      <c r="H6" s="311">
        <f>[6]STA_SP1_NO!$D$24</f>
        <v>17979.189999999999</v>
      </c>
      <c r="I6" s="316">
        <f>[7]STA_SP1_NO!$D$24</f>
        <v>93536</v>
      </c>
      <c r="J6" s="118">
        <f>[8]STA_SP1_NO!$D$24</f>
        <v>105904</v>
      </c>
      <c r="K6" s="316">
        <f>[9]STA_SP1_NO!$D$24</f>
        <v>102320.72</v>
      </c>
      <c r="L6" s="144">
        <f>[10]STA_SP1_NO!$D$24</f>
        <v>101496</v>
      </c>
      <c r="M6" s="148">
        <f>[11]STA_SP1_NO!$D$24</f>
        <v>4129.3500000000004</v>
      </c>
      <c r="N6" s="227">
        <f t="shared" si="0"/>
        <v>1120169.4099999999</v>
      </c>
    </row>
    <row r="7" spans="1:14" x14ac:dyDescent="0.25">
      <c r="A7" s="4">
        <v>4</v>
      </c>
      <c r="B7" s="10" t="s">
        <v>15</v>
      </c>
      <c r="C7" s="146">
        <f>[1]STA_SP1_NO!$D$27</f>
        <v>0</v>
      </c>
      <c r="D7" s="118">
        <f>[2]STA_SP1_NO!$D$27</f>
        <v>0</v>
      </c>
      <c r="E7" s="292">
        <f>[3]STA_SP1_NO!$D$27</f>
        <v>0</v>
      </c>
      <c r="F7" s="294">
        <f>[4]STA_SP1_NO!$D$27</f>
        <v>0</v>
      </c>
      <c r="G7" s="308">
        <f>[5]STA_SP1_NO!$D$27</f>
        <v>0</v>
      </c>
      <c r="H7" s="311">
        <f>[6]STA_SP1_NO!$D$27</f>
        <v>0</v>
      </c>
      <c r="I7" s="316">
        <f>[7]STA_SP1_NO!$D$27</f>
        <v>0</v>
      </c>
      <c r="J7" s="118">
        <f>[8]STA_SP1_NO!$D$27</f>
        <v>0</v>
      </c>
      <c r="K7" s="316">
        <f>[9]STA_SP1_NO!$D$27</f>
        <v>0</v>
      </c>
      <c r="L7" s="144">
        <f>[10]STA_SP1_NO!$D$27</f>
        <v>0</v>
      </c>
      <c r="M7" s="148">
        <f>[11]STA_SP1_NO!$D$27</f>
        <v>0</v>
      </c>
      <c r="N7" s="227">
        <f t="shared" si="0"/>
        <v>0</v>
      </c>
    </row>
    <row r="8" spans="1:14" x14ac:dyDescent="0.25">
      <c r="A8" s="4">
        <v>5</v>
      </c>
      <c r="B8" s="10" t="s">
        <v>16</v>
      </c>
      <c r="C8" s="146">
        <f>[1]STA_SP1_NO!$D$30</f>
        <v>0</v>
      </c>
      <c r="D8" s="118">
        <f>[2]STA_SP1_NO!$D$30</f>
        <v>0</v>
      </c>
      <c r="E8" s="292">
        <f>[3]STA_SP1_NO!$D$30</f>
        <v>0</v>
      </c>
      <c r="F8" s="294">
        <f>[4]STA_SP1_NO!$D$30</f>
        <v>0</v>
      </c>
      <c r="G8" s="308">
        <f>[5]STA_SP1_NO!$D$30</f>
        <v>76232</v>
      </c>
      <c r="H8" s="311">
        <f>[6]STA_SP1_NO!$D$30</f>
        <v>0</v>
      </c>
      <c r="I8" s="316">
        <f>[7]STA_SP1_NO!$D$30</f>
        <v>0</v>
      </c>
      <c r="J8" s="118">
        <f>[8]STA_SP1_NO!$D$30</f>
        <v>562</v>
      </c>
      <c r="K8" s="316">
        <f>[9]STA_SP1_NO!$D$30</f>
        <v>0</v>
      </c>
      <c r="L8" s="144">
        <f>[10]STA_SP1_NO!$D$30</f>
        <v>1018</v>
      </c>
      <c r="M8" s="148">
        <f>[11]STA_SP1_NO!$D$30</f>
        <v>0</v>
      </c>
      <c r="N8" s="227">
        <f t="shared" si="0"/>
        <v>77812</v>
      </c>
    </row>
    <row r="9" spans="1:14" x14ac:dyDescent="0.25">
      <c r="A9" s="4">
        <v>6</v>
      </c>
      <c r="B9" s="10" t="s">
        <v>17</v>
      </c>
      <c r="C9" s="197">
        <f>[1]STA_SP1_NO!$D$33</f>
        <v>301.77</v>
      </c>
      <c r="D9" s="118">
        <f>[2]STA_SP1_NO!$D$33</f>
        <v>185.1</v>
      </c>
      <c r="E9" s="292">
        <f>[3]STA_SP1_NO!$D$33</f>
        <v>39</v>
      </c>
      <c r="F9" s="294">
        <f>[4]STA_SP1_NO!$D$33</f>
        <v>1088.46</v>
      </c>
      <c r="G9" s="308">
        <f>[5]STA_SP1_NO!$D$33</f>
        <v>30</v>
      </c>
      <c r="H9" s="311">
        <f>[6]STA_SP1_NO!$D$33</f>
        <v>0</v>
      </c>
      <c r="I9" s="316">
        <f>[7]STA_SP1_NO!$D$33</f>
        <v>66</v>
      </c>
      <c r="J9" s="118">
        <f>[8]STA_SP1_NO!$D$33</f>
        <v>301</v>
      </c>
      <c r="K9" s="316">
        <f>[9]STA_SP1_NO!$D$33</f>
        <v>97.23</v>
      </c>
      <c r="L9" s="144">
        <f>[10]STA_SP1_NO!$D$33</f>
        <v>0</v>
      </c>
      <c r="M9" s="148">
        <f>[11]STA_SP1_NO!$D$33</f>
        <v>0</v>
      </c>
      <c r="N9" s="227">
        <f t="shared" si="0"/>
        <v>2108.56</v>
      </c>
    </row>
    <row r="10" spans="1:14" x14ac:dyDescent="0.25">
      <c r="A10" s="4">
        <v>7</v>
      </c>
      <c r="B10" s="10" t="s">
        <v>18</v>
      </c>
      <c r="C10" s="146">
        <f>[1]STA_SP1_NO!$D$36</f>
        <v>23993.7</v>
      </c>
      <c r="D10" s="118">
        <f>[2]STA_SP1_NO!$D$36</f>
        <v>22620.959999999999</v>
      </c>
      <c r="E10" s="292">
        <f>[3]STA_SP1_NO!$D$36</f>
        <v>13660</v>
      </c>
      <c r="F10" s="294">
        <f>[4]STA_SP1_NO!$D$36</f>
        <v>3380.79</v>
      </c>
      <c r="G10" s="308">
        <f>[5]STA_SP1_NO!$D$36</f>
        <v>4534</v>
      </c>
      <c r="H10" s="311">
        <f>[6]STA_SP1_NO!$D$36</f>
        <v>0</v>
      </c>
      <c r="I10" s="316">
        <f>[7]STA_SP1_NO!$D$36</f>
        <v>10976</v>
      </c>
      <c r="J10" s="118">
        <f>[8]STA_SP1_NO!$D$36</f>
        <v>2674.03</v>
      </c>
      <c r="K10" s="316">
        <f>[9]STA_SP1_NO!$D$36</f>
        <v>5416.48</v>
      </c>
      <c r="L10" s="144">
        <f>[10]STA_SP1_NO!$D$36</f>
        <v>3046</v>
      </c>
      <c r="M10" s="148">
        <f>[11]STA_SP1_NO!$D$36</f>
        <v>0</v>
      </c>
      <c r="N10" s="227">
        <f t="shared" si="0"/>
        <v>90301.96</v>
      </c>
    </row>
    <row r="11" spans="1:14" x14ac:dyDescent="0.25">
      <c r="A11" s="4">
        <v>8</v>
      </c>
      <c r="B11" s="10" t="s">
        <v>19</v>
      </c>
      <c r="C11" s="146">
        <f>[1]STA_SP1_NO!$D$40</f>
        <v>187470.06</v>
      </c>
      <c r="D11" s="118">
        <f>[2]STA_SP1_NO!$D$40</f>
        <v>93887.86</v>
      </c>
      <c r="E11" s="292">
        <f>[3]STA_SP1_NO!$D$40</f>
        <v>46081</v>
      </c>
      <c r="F11" s="294">
        <f>[4]STA_SP1_NO!$D$40</f>
        <v>85709.94</v>
      </c>
      <c r="G11" s="308">
        <f>[5]STA_SP1_NO!$D$40</f>
        <v>511208</v>
      </c>
      <c r="H11" s="311">
        <f>[6]STA_SP1_NO!$D$40</f>
        <v>2950.1</v>
      </c>
      <c r="I11" s="316">
        <f>[7]STA_SP1_NO!$D$40</f>
        <v>50877</v>
      </c>
      <c r="J11" s="118">
        <f>[8]STA_SP1_NO!$D$40</f>
        <v>52103</v>
      </c>
      <c r="K11" s="316">
        <f>[9]STA_SP1_NO!$D$40</f>
        <v>68751.19</v>
      </c>
      <c r="L11" s="144">
        <f>[10]STA_SP1_NO!$D$40</f>
        <v>59763</v>
      </c>
      <c r="M11" s="148">
        <f>[11]STA_SP1_NO!$D$40</f>
        <v>136.37</v>
      </c>
      <c r="N11" s="227">
        <f t="shared" si="0"/>
        <v>1158937.52</v>
      </c>
    </row>
    <row r="12" spans="1:14" x14ac:dyDescent="0.25">
      <c r="A12" s="4">
        <v>9</v>
      </c>
      <c r="B12" s="10" t="s">
        <v>20</v>
      </c>
      <c r="C12" s="146">
        <f>[1]STA_SP1_NO!$D$56</f>
        <v>315359.5</v>
      </c>
      <c r="D12" s="118">
        <f>[2]STA_SP1_NO!$D$56</f>
        <v>204900.47</v>
      </c>
      <c r="E12" s="292">
        <f>[3]STA_SP1_NO!$D$56</f>
        <v>57742</v>
      </c>
      <c r="F12" s="294">
        <f>[4]STA_SP1_NO!$D$56</f>
        <v>159225.51</v>
      </c>
      <c r="G12" s="308">
        <f>[5]STA_SP1_NO!$D$56</f>
        <v>291483.28999999998</v>
      </c>
      <c r="H12" s="311">
        <f>[6]STA_SP1_NO!$D$56</f>
        <v>1707.36</v>
      </c>
      <c r="I12" s="316">
        <f>[7]STA_SP1_NO!$D$56</f>
        <v>187330</v>
      </c>
      <c r="J12" s="118">
        <f>[8]STA_SP1_NO!$D$56</f>
        <v>26748.26</v>
      </c>
      <c r="K12" s="316">
        <f>[9]STA_SP1_NO!$D$56</f>
        <v>89279.66</v>
      </c>
      <c r="L12" s="144">
        <f>[10]STA_SP1_NO!$D$56</f>
        <v>81454</v>
      </c>
      <c r="M12" s="148">
        <f>[11]STA_SP1_NO!$D$56</f>
        <v>89.63</v>
      </c>
      <c r="N12" s="227">
        <f t="shared" si="0"/>
        <v>1415319.6799999997</v>
      </c>
    </row>
    <row r="13" spans="1:14" x14ac:dyDescent="0.25">
      <c r="A13" s="4">
        <v>10</v>
      </c>
      <c r="B13" s="10" t="s">
        <v>21</v>
      </c>
      <c r="C13" s="146">
        <f>[1]STA_SP1_NO!$D$88</f>
        <v>666915.73</v>
      </c>
      <c r="D13" s="118">
        <f>[2]STA_SP1_NO!$D$88</f>
        <v>377028.8</v>
      </c>
      <c r="E13" s="292">
        <f>[3]STA_SP1_NO!$D$88</f>
        <v>334752</v>
      </c>
      <c r="F13" s="294">
        <f>[4]STA_SP1_NO!$D$88</f>
        <v>439830.02</v>
      </c>
      <c r="G13" s="308">
        <f>[5]STA_SP1_NO!$D$88</f>
        <v>371489</v>
      </c>
      <c r="H13" s="311">
        <f>[6]STA_SP1_NO!$D$88</f>
        <v>507545.31</v>
      </c>
      <c r="I13" s="316">
        <f>[7]STA_SP1_NO!$D$88</f>
        <v>836068</v>
      </c>
      <c r="J13" s="118">
        <f>[8]STA_SP1_NO!$D$88</f>
        <v>443141</v>
      </c>
      <c r="K13" s="316">
        <f>[9]STA_SP1_NO!$D$88</f>
        <v>301014.5</v>
      </c>
      <c r="L13" s="144">
        <f>[10]STA_SP1_NO!$D$88</f>
        <v>520273</v>
      </c>
      <c r="M13" s="148">
        <f>[11]STA_SP1_NO!$D$88</f>
        <v>37747.57</v>
      </c>
      <c r="N13" s="227">
        <f t="shared" si="0"/>
        <v>4835804.93</v>
      </c>
    </row>
    <row r="14" spans="1:14" x14ac:dyDescent="0.25">
      <c r="A14" s="4">
        <v>11</v>
      </c>
      <c r="B14" s="10" t="s">
        <v>22</v>
      </c>
      <c r="C14" s="146">
        <f>[1]STA_SP1_NO!$D$124</f>
        <v>54.19</v>
      </c>
      <c r="D14" s="118">
        <f>[2]STA_SP1_NO!$D$124</f>
        <v>426.94</v>
      </c>
      <c r="E14" s="292">
        <f>[3]STA_SP1_NO!$D$124</f>
        <v>0</v>
      </c>
      <c r="F14" s="294">
        <f>[4]STA_SP1_NO!$D$124</f>
        <v>0</v>
      </c>
      <c r="G14" s="308">
        <f>[5]STA_SP1_NO!$D$124</f>
        <v>8839</v>
      </c>
      <c r="H14" s="311">
        <f>[6]STA_SP1_NO!$D$124</f>
        <v>0</v>
      </c>
      <c r="I14" s="316">
        <f>[7]STA_SP1_NO!$D$124</f>
        <v>0</v>
      </c>
      <c r="J14" s="118">
        <f>[8]STA_SP1_NO!$D$124</f>
        <v>1934</v>
      </c>
      <c r="K14" s="316">
        <f>[9]STA_SP1_NO!$D$124</f>
        <v>0</v>
      </c>
      <c r="L14" s="144">
        <f>[10]STA_SP1_NO!$D$124</f>
        <v>567</v>
      </c>
      <c r="M14" s="148">
        <f>[11]STA_SP1_NO!$D$124</f>
        <v>0</v>
      </c>
      <c r="N14" s="227">
        <f t="shared" si="0"/>
        <v>11821.13</v>
      </c>
    </row>
    <row r="15" spans="1:14" x14ac:dyDescent="0.25">
      <c r="A15" s="4">
        <v>12</v>
      </c>
      <c r="B15" s="10" t="s">
        <v>23</v>
      </c>
      <c r="C15" s="197">
        <f>[1]STA_SP1_NO!$D$128</f>
        <v>828.51</v>
      </c>
      <c r="D15" s="118">
        <f>[2]STA_SP1_NO!$D$128</f>
        <v>336.68</v>
      </c>
      <c r="E15" s="292">
        <f>[3]STA_SP1_NO!$D$128</f>
        <v>95</v>
      </c>
      <c r="F15" s="294">
        <f>[4]STA_SP1_NO!$D$128</f>
        <v>1273.53</v>
      </c>
      <c r="G15" s="308">
        <f>[5]STA_SP1_NO!$D$128</f>
        <v>927</v>
      </c>
      <c r="H15" s="311">
        <f>[6]STA_SP1_NO!$D$128</f>
        <v>0</v>
      </c>
      <c r="I15" s="316">
        <f>[7]STA_SP1_NO!$D$128</f>
        <v>758</v>
      </c>
      <c r="J15" s="118">
        <f>[8]STA_SP1_NO!$D$128</f>
        <v>772</v>
      </c>
      <c r="K15" s="316">
        <f>[9]STA_SP1_NO!$D$128</f>
        <v>453.87</v>
      </c>
      <c r="L15" s="144">
        <f>[10]STA_SP1_NO!$D$128</f>
        <v>232</v>
      </c>
      <c r="M15" s="148">
        <f>[11]STA_SP1_NO!$D$128</f>
        <v>0</v>
      </c>
      <c r="N15" s="227">
        <f t="shared" si="0"/>
        <v>5676.59</v>
      </c>
    </row>
    <row r="16" spans="1:14" x14ac:dyDescent="0.25">
      <c r="A16" s="4">
        <v>13</v>
      </c>
      <c r="B16" s="10" t="s">
        <v>24</v>
      </c>
      <c r="C16" s="146">
        <f>[1]STA_SP1_NO!$D$132</f>
        <v>44385.08</v>
      </c>
      <c r="D16" s="118">
        <f>[2]STA_SP1_NO!$D$132</f>
        <v>43373.86</v>
      </c>
      <c r="E16" s="292">
        <f>[3]STA_SP1_NO!$D$132</f>
        <v>8430</v>
      </c>
      <c r="F16" s="294">
        <f>[4]STA_SP1_NO!$D$132</f>
        <v>17162.28</v>
      </c>
      <c r="G16" s="308">
        <f>[5]STA_SP1_NO!$D$132</f>
        <v>158142</v>
      </c>
      <c r="H16" s="311">
        <f>[6]STA_SP1_NO!$D$132</f>
        <v>607.1</v>
      </c>
      <c r="I16" s="316">
        <f>[7]STA_SP1_NO!$D$132</f>
        <v>40864</v>
      </c>
      <c r="J16" s="118">
        <f>[8]STA_SP1_NO!$D$132</f>
        <v>19984</v>
      </c>
      <c r="K16" s="316">
        <f>[9]STA_SP1_NO!$D$132</f>
        <v>48803.83</v>
      </c>
      <c r="L16" s="144">
        <f>[10]STA_SP1_NO!$D$132</f>
        <v>15995</v>
      </c>
      <c r="M16" s="148">
        <f>[11]STA_SP1_NO!$D$132</f>
        <v>50.18</v>
      </c>
      <c r="N16" s="227">
        <f t="shared" si="0"/>
        <v>397797.32999999996</v>
      </c>
    </row>
    <row r="17" spans="1:15" x14ac:dyDescent="0.25">
      <c r="A17" s="4">
        <v>14</v>
      </c>
      <c r="B17" s="10" t="s">
        <v>25</v>
      </c>
      <c r="C17" s="146">
        <f>[1]STA_SP1_NO!$D$153</f>
        <v>11546.02</v>
      </c>
      <c r="D17" s="118">
        <f>[2]STA_SP1_NO!$D$153</f>
        <v>53391.35</v>
      </c>
      <c r="E17" s="292">
        <f>[3]STA_SP1_NO!$D$153</f>
        <v>1095</v>
      </c>
      <c r="F17" s="294">
        <f>[4]STA_SP1_NO!$D$153</f>
        <v>10114.4</v>
      </c>
      <c r="G17" s="308">
        <f>[5]STA_SP1_NO!$D$153</f>
        <v>0</v>
      </c>
      <c r="H17" s="311">
        <f>[6]STA_SP1_NO!$D$153</f>
        <v>0</v>
      </c>
      <c r="I17" s="316">
        <f>[7]STA_SP1_NO!$D$153</f>
        <v>0</v>
      </c>
      <c r="J17" s="118">
        <f>[8]STA_SP1_NO!$D$153</f>
        <v>0</v>
      </c>
      <c r="K17" s="316">
        <f>[9]STA_SP1_NO!$D$153</f>
        <v>69545.86</v>
      </c>
      <c r="L17" s="144">
        <f>[10]STA_SP1_NO!$D$153</f>
        <v>3800</v>
      </c>
      <c r="M17" s="148">
        <f>[11]STA_SP1_NO!$D$153</f>
        <v>0</v>
      </c>
      <c r="N17" s="227">
        <f t="shared" si="0"/>
        <v>149492.63</v>
      </c>
    </row>
    <row r="18" spans="1:15" x14ac:dyDescent="0.25">
      <c r="A18" s="4">
        <v>15</v>
      </c>
      <c r="B18" s="10" t="s">
        <v>26</v>
      </c>
      <c r="C18" s="197">
        <f>[1]STA_SP1_NO!$D$158</f>
        <v>0</v>
      </c>
      <c r="D18" s="118">
        <f>[2]STA_SP1_NO!$D$158</f>
        <v>0</v>
      </c>
      <c r="E18" s="292">
        <f>[3]STA_SP1_NO!$D$158</f>
        <v>375</v>
      </c>
      <c r="F18" s="294">
        <f>[4]STA_SP1_NO!$D$158</f>
        <v>0</v>
      </c>
      <c r="G18" s="308">
        <f>[5]STA_SP1_NO!$D$158</f>
        <v>98</v>
      </c>
      <c r="H18" s="311">
        <f>[6]STA_SP1_NO!$D$158</f>
        <v>0</v>
      </c>
      <c r="I18" s="316">
        <f>[7]STA_SP1_NO!$D$158</f>
        <v>0</v>
      </c>
      <c r="J18" s="118">
        <f>[8]STA_SP1_NO!$D$158</f>
        <v>0</v>
      </c>
      <c r="K18" s="316">
        <f>[9]STA_SP1_NO!$D$158</f>
        <v>143.91</v>
      </c>
      <c r="L18" s="144">
        <f>[10]STA_SP1_NO!$D$158</f>
        <v>0</v>
      </c>
      <c r="M18" s="148">
        <f>[11]STA_SP1_NO!$D$158</f>
        <v>0</v>
      </c>
      <c r="N18" s="227">
        <f t="shared" si="0"/>
        <v>616.91</v>
      </c>
    </row>
    <row r="19" spans="1:15" x14ac:dyDescent="0.25">
      <c r="A19" s="4">
        <v>16</v>
      </c>
      <c r="B19" s="10" t="s">
        <v>27</v>
      </c>
      <c r="C19" s="146">
        <f>[1]STA_SP1_NO!$D$161</f>
        <v>10214.48</v>
      </c>
      <c r="D19" s="118">
        <f>[2]STA_SP1_NO!$D$161</f>
        <v>56351.040000000001</v>
      </c>
      <c r="E19" s="292">
        <f>[3]STA_SP1_NO!$D$161</f>
        <v>125</v>
      </c>
      <c r="F19" s="294">
        <f>[4]STA_SP1_NO!$D$161</f>
        <v>7832.57</v>
      </c>
      <c r="G19" s="308">
        <f>[5]STA_SP1_NO!$D$161</f>
        <v>428</v>
      </c>
      <c r="H19" s="311">
        <f>[6]STA_SP1_NO!$D$161</f>
        <v>0</v>
      </c>
      <c r="I19" s="316">
        <f>[7]STA_SP1_NO!$D$161</f>
        <v>10522</v>
      </c>
      <c r="J19" s="118">
        <f>[8]STA_SP1_NO!$D$161</f>
        <v>0</v>
      </c>
      <c r="K19" s="316">
        <f>[9]STA_SP1_NO!$D$161</f>
        <v>15225.12</v>
      </c>
      <c r="L19" s="144">
        <f>[10]STA_SP1_NO!$D$161</f>
        <v>810</v>
      </c>
      <c r="M19" s="148">
        <f>[11]STA_SP1_NO!$D$161</f>
        <v>0</v>
      </c>
      <c r="N19" s="227">
        <f t="shared" si="0"/>
        <v>101508.20999999999</v>
      </c>
    </row>
    <row r="20" spans="1:15" x14ac:dyDescent="0.25">
      <c r="A20" s="4">
        <v>17</v>
      </c>
      <c r="B20" s="10" t="s">
        <v>28</v>
      </c>
      <c r="C20" s="146">
        <f>[1]STA_SP1_NO!$D$167</f>
        <v>0</v>
      </c>
      <c r="D20" s="118">
        <f>[2]STA_SP1_NO!$D$167</f>
        <v>0</v>
      </c>
      <c r="E20" s="292">
        <f>[3]STA_SP1_NO!$D$167</f>
        <v>0</v>
      </c>
      <c r="F20" s="294">
        <f>[4]STA_SP1_NO!$D$167</f>
        <v>0</v>
      </c>
      <c r="G20" s="308">
        <f>[5]STA_SP1_NO!$D$167</f>
        <v>0</v>
      </c>
      <c r="H20" s="311">
        <f>[6]STA_SP1_NO!$D$167</f>
        <v>0</v>
      </c>
      <c r="I20" s="316">
        <f>[7]STA_SP1_NO!$D$167</f>
        <v>0</v>
      </c>
      <c r="J20" s="118">
        <f>[8]STA_SP1_NO!$D$167</f>
        <v>0</v>
      </c>
      <c r="K20" s="316">
        <f>[9]STA_SP1_NO!$D$167</f>
        <v>0</v>
      </c>
      <c r="L20" s="144">
        <f>[10]STA_SP1_NO!$D$167</f>
        <v>1</v>
      </c>
      <c r="M20" s="148">
        <f>[11]STA_SP1_NO!$D$167</f>
        <v>0</v>
      </c>
      <c r="N20" s="227">
        <f t="shared" si="0"/>
        <v>1</v>
      </c>
    </row>
    <row r="21" spans="1:15" ht="15.75" thickBot="1" x14ac:dyDescent="0.3">
      <c r="A21" s="6">
        <v>18</v>
      </c>
      <c r="B21" s="11" t="s">
        <v>29</v>
      </c>
      <c r="C21" s="147">
        <f>[1]STA_SP1_NO!$D$170</f>
        <v>20763.16</v>
      </c>
      <c r="D21" s="118">
        <f>[2]STA_SP1_NO!$D$170</f>
        <v>58003.76</v>
      </c>
      <c r="E21" s="292">
        <f>[3]STA_SP1_NO!$D$170</f>
        <v>9788</v>
      </c>
      <c r="F21" s="297">
        <f>[4]STA_SP1_NO!$D$170</f>
        <v>47828.35</v>
      </c>
      <c r="G21" s="309">
        <f>[5]STA_SP1_NO!$D$170</f>
        <v>44516</v>
      </c>
      <c r="H21" s="312">
        <f>[6]STA_SP1_NO!$D$170</f>
        <v>4668.57</v>
      </c>
      <c r="I21" s="317">
        <f>[7]STA_SP1_NO!$D$170</f>
        <v>20782</v>
      </c>
      <c r="J21" s="313">
        <f>[8]STA_SP1_NO!$D$170</f>
        <v>21740</v>
      </c>
      <c r="K21" s="316">
        <f>[9]STA_SP1_NO!$D$170</f>
        <v>14024.54</v>
      </c>
      <c r="L21" s="299">
        <f>[10]STA_SP1_NO!$D$170</f>
        <v>25319</v>
      </c>
      <c r="M21" s="320">
        <f>[11]STA_SP1_NO!$D$170</f>
        <v>215.23</v>
      </c>
      <c r="N21" s="227">
        <f t="shared" si="0"/>
        <v>267648.61</v>
      </c>
    </row>
    <row r="22" spans="1:15" ht="15.75" thickBot="1" x14ac:dyDescent="0.3">
      <c r="A22" s="7"/>
      <c r="B22" s="19" t="s">
        <v>30</v>
      </c>
      <c r="C22" s="153">
        <f t="shared" ref="C22" si="1">SUM(C4:C21)</f>
        <v>1744804.72</v>
      </c>
      <c r="D22" s="154">
        <f>SUM(D4:D21)</f>
        <v>1394191.4100000001</v>
      </c>
      <c r="E22" s="153">
        <f>SUM(E4:E21)</f>
        <v>596995</v>
      </c>
      <c r="F22" s="293">
        <f>SUM(F4:F21)</f>
        <v>1140882.1100000001</v>
      </c>
      <c r="G22" s="298">
        <f>SUM(G4:G21)</f>
        <v>1847096.29</v>
      </c>
      <c r="H22" s="300">
        <f>SUM(H4:H21)</f>
        <v>557116.29999999993</v>
      </c>
      <c r="I22" s="318">
        <f t="shared" ref="I22:M22" si="2">SUM(I4:I21)</f>
        <v>1438107</v>
      </c>
      <c r="J22" s="301">
        <f t="shared" si="2"/>
        <v>711309.29</v>
      </c>
      <c r="K22" s="318">
        <f t="shared" si="2"/>
        <v>887258.36</v>
      </c>
      <c r="L22" s="301">
        <f t="shared" si="2"/>
        <v>1171843</v>
      </c>
      <c r="M22" s="321">
        <f t="shared" si="2"/>
        <v>43461.47</v>
      </c>
      <c r="N22" s="322">
        <f t="shared" si="0"/>
        <v>11533064.950000001</v>
      </c>
      <c r="O22" s="302"/>
    </row>
    <row r="23" spans="1:15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7"/>
      <c r="N23" s="16"/>
      <c r="O23" s="303"/>
    </row>
    <row r="24" spans="1:15" ht="15.75" thickBot="1" x14ac:dyDescent="0.3">
      <c r="A24" s="417" t="s">
        <v>31</v>
      </c>
      <c r="B24" s="418"/>
      <c r="C24" s="23">
        <f>C22/N22</f>
        <v>0.15128716673012405</v>
      </c>
      <c r="D24" s="23">
        <f>D22/N22</f>
        <v>0.12088646132180154</v>
      </c>
      <c r="E24" s="23">
        <f>E22/N22</f>
        <v>5.1763776809390115E-2</v>
      </c>
      <c r="F24" s="82">
        <f>F22/N22</f>
        <v>9.892271611632604E-2</v>
      </c>
      <c r="G24" s="23">
        <f>G22/N22</f>
        <v>0.16015658439520017</v>
      </c>
      <c r="H24" s="82">
        <f>H22/N22</f>
        <v>4.8306005594809374E-2</v>
      </c>
      <c r="I24" s="23">
        <f>I22/N22</f>
        <v>0.12469426004576518</v>
      </c>
      <c r="J24" s="82">
        <f>J22/N22</f>
        <v>6.1675651102615178E-2</v>
      </c>
      <c r="K24" s="23">
        <f>K22/N22</f>
        <v>7.6931705825518643E-2</v>
      </c>
      <c r="L24" s="82">
        <f>L22/N22</f>
        <v>0.10160724881723655</v>
      </c>
      <c r="M24" s="23">
        <f>M22/N22</f>
        <v>3.7684232412130824E-3</v>
      </c>
      <c r="N24" s="82">
        <f>N22/N22</f>
        <v>1</v>
      </c>
      <c r="O24" s="304"/>
    </row>
    <row r="25" spans="1:15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15.75" thickBot="1" x14ac:dyDescent="0.3">
      <c r="A26" s="425" t="s">
        <v>0</v>
      </c>
      <c r="B26" s="427" t="s">
        <v>1</v>
      </c>
      <c r="C26" s="432" t="s">
        <v>90</v>
      </c>
      <c r="D26" s="433"/>
      <c r="E26" s="433"/>
      <c r="F26" s="433"/>
      <c r="G26" s="433"/>
      <c r="H26" s="434"/>
      <c r="I26" s="430" t="s">
        <v>3</v>
      </c>
      <c r="J26" s="1"/>
      <c r="K26" s="1"/>
      <c r="L26" s="1"/>
      <c r="M26" s="1"/>
      <c r="N26" s="1"/>
    </row>
    <row r="27" spans="1:15" ht="15.75" thickBot="1" x14ac:dyDescent="0.3">
      <c r="A27" s="426"/>
      <c r="B27" s="429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09" t="s">
        <v>95</v>
      </c>
      <c r="I27" s="431"/>
      <c r="J27" s="81"/>
      <c r="K27" s="419" t="s">
        <v>33</v>
      </c>
      <c r="L27" s="420"/>
      <c r="M27" s="230">
        <f>N22</f>
        <v>11533064.950000001</v>
      </c>
      <c r="N27" s="231">
        <f>M27/M29</f>
        <v>0.83539280923648318</v>
      </c>
    </row>
    <row r="28" spans="1:15" ht="15.75" thickBot="1" x14ac:dyDescent="0.3">
      <c r="A28" s="22">
        <v>19</v>
      </c>
      <c r="B28" s="128" t="s">
        <v>34</v>
      </c>
      <c r="C28" s="187">
        <f>[12]STA_SP1_ZO!$J$51</f>
        <v>658893</v>
      </c>
      <c r="D28" s="207">
        <f>[13]STA_SP1_ZO!$J$51</f>
        <v>364146</v>
      </c>
      <c r="E28" s="187">
        <f>[14]STA_SP1_ZO!$J$51</f>
        <v>459804</v>
      </c>
      <c r="F28" s="186">
        <f>[15]STA_SP1_ZO!$J$51</f>
        <v>232984</v>
      </c>
      <c r="G28" s="187">
        <f>[16]STA_SP1_ZO!$J$51</f>
        <v>525038.92000000004</v>
      </c>
      <c r="H28" s="188">
        <f>[17]STA_SP1_ZO!$J$51</f>
        <v>31628.41</v>
      </c>
      <c r="I28" s="228">
        <f>SUM(C28:H28)</f>
        <v>2272494.33</v>
      </c>
      <c r="J28" s="81"/>
      <c r="K28" s="413" t="s">
        <v>34</v>
      </c>
      <c r="L28" s="414"/>
      <c r="M28" s="232">
        <f>I28</f>
        <v>2272494.33</v>
      </c>
      <c r="N28" s="233">
        <f>M28/M29</f>
        <v>0.16460719076351682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5" t="s">
        <v>3</v>
      </c>
      <c r="L29" s="416"/>
      <c r="M29" s="234">
        <f>M27+M28</f>
        <v>13805559.280000001</v>
      </c>
      <c r="N29" s="235">
        <f>M29/M29</f>
        <v>1</v>
      </c>
    </row>
    <row r="30" spans="1:15" ht="15.75" thickBot="1" x14ac:dyDescent="0.3">
      <c r="A30" s="417" t="s">
        <v>35</v>
      </c>
      <c r="B30" s="418"/>
      <c r="C30" s="23">
        <f>C28/I28</f>
        <v>0.2899426376126536</v>
      </c>
      <c r="D30" s="82">
        <f>D28/I28</f>
        <v>0.1602406638347916</v>
      </c>
      <c r="E30" s="23">
        <f>E28/I28</f>
        <v>0.20233449823392957</v>
      </c>
      <c r="F30" s="82">
        <f>F28/I28</f>
        <v>0.1025234681223605</v>
      </c>
      <c r="G30" s="23">
        <f>G28/I28</f>
        <v>0.23104080528112914</v>
      </c>
      <c r="H30" s="82">
        <f>H28/I28</f>
        <v>1.3917926915135581E-2</v>
      </c>
      <c r="I30" s="229">
        <f>I28/I28</f>
        <v>1</v>
      </c>
      <c r="J30" s="1"/>
      <c r="K30" s="1"/>
      <c r="L30" s="1"/>
      <c r="M30" s="1"/>
      <c r="N30" s="1"/>
    </row>
    <row r="37" spans="8:8" x14ac:dyDescent="0.25">
      <c r="H37" s="198"/>
    </row>
  </sheetData>
  <mergeCells count="14">
    <mergeCell ref="C1:I1"/>
    <mergeCell ref="A2:A3"/>
    <mergeCell ref="B2:B3"/>
    <mergeCell ref="A26:A27"/>
    <mergeCell ref="B26:B27"/>
    <mergeCell ref="A24:B24"/>
    <mergeCell ref="I26:I27"/>
    <mergeCell ref="C26:H26"/>
    <mergeCell ref="N2:N3"/>
    <mergeCell ref="K28:L28"/>
    <mergeCell ref="K29:L29"/>
    <mergeCell ref="A30:B30"/>
    <mergeCell ref="K27:L27"/>
    <mergeCell ref="C2:M2"/>
  </mergeCells>
  <pageMargins left="0.25" right="0.25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I35" sqref="I35"/>
    </sheetView>
  </sheetViews>
  <sheetFormatPr defaultRowHeight="15" x14ac:dyDescent="0.25"/>
  <cols>
    <col min="1" max="1" width="4.5703125" customWidth="1"/>
    <col min="2" max="2" width="21.7109375" customWidth="1"/>
  </cols>
  <sheetData>
    <row r="1" spans="1:15" ht="24.75" customHeight="1" thickBot="1" x14ac:dyDescent="0.3">
      <c r="A1" s="26"/>
      <c r="B1" s="26"/>
      <c r="C1" s="458" t="s">
        <v>106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52"/>
    </row>
    <row r="2" spans="1:15" ht="15.75" thickBot="1" x14ac:dyDescent="0.3">
      <c r="A2" s="461" t="s">
        <v>0</v>
      </c>
      <c r="B2" s="463" t="s">
        <v>1</v>
      </c>
      <c r="C2" s="483" t="s">
        <v>2</v>
      </c>
      <c r="D2" s="484"/>
      <c r="E2" s="484"/>
      <c r="F2" s="484"/>
      <c r="G2" s="484"/>
      <c r="H2" s="484"/>
      <c r="I2" s="484"/>
      <c r="J2" s="484"/>
      <c r="K2" s="484"/>
      <c r="L2" s="484"/>
      <c r="M2" s="485"/>
      <c r="N2" s="488" t="s">
        <v>3</v>
      </c>
    </row>
    <row r="3" spans="1:15" x14ac:dyDescent="0.25">
      <c r="A3" s="501"/>
      <c r="B3" s="502"/>
      <c r="C3" s="508" t="s">
        <v>69</v>
      </c>
      <c r="D3" s="502" t="s">
        <v>4</v>
      </c>
      <c r="E3" s="512" t="s">
        <v>5</v>
      </c>
      <c r="F3" s="463" t="s">
        <v>6</v>
      </c>
      <c r="G3" s="497" t="s">
        <v>8</v>
      </c>
      <c r="H3" s="463" t="s">
        <v>94</v>
      </c>
      <c r="I3" s="495" t="s">
        <v>9</v>
      </c>
      <c r="J3" s="505" t="s">
        <v>10</v>
      </c>
      <c r="K3" s="495" t="s">
        <v>93</v>
      </c>
      <c r="L3" s="463" t="s">
        <v>11</v>
      </c>
      <c r="M3" s="499" t="s">
        <v>96</v>
      </c>
      <c r="N3" s="489"/>
    </row>
    <row r="4" spans="1:15" ht="15.75" thickBot="1" x14ac:dyDescent="0.3">
      <c r="A4" s="496"/>
      <c r="B4" s="503"/>
      <c r="C4" s="510"/>
      <c r="D4" s="496"/>
      <c r="E4" s="496"/>
      <c r="F4" s="496"/>
      <c r="G4" s="498"/>
      <c r="H4" s="464"/>
      <c r="I4" s="504"/>
      <c r="J4" s="506"/>
      <c r="K4" s="504"/>
      <c r="L4" s="464"/>
      <c r="M4" s="500"/>
      <c r="N4" s="490"/>
    </row>
    <row r="5" spans="1:15" x14ac:dyDescent="0.25">
      <c r="A5" s="30">
        <v>1</v>
      </c>
      <c r="B5" s="31" t="s">
        <v>39</v>
      </c>
      <c r="C5" s="62">
        <f>[1]STA_SP2_NO!$C$25</f>
        <v>28361</v>
      </c>
      <c r="D5" s="118">
        <f>[2]STA_SP2_NO!$C$25</f>
        <v>17604</v>
      </c>
      <c r="E5" s="61">
        <f>[3]STA_SP2_NO!$C$25</f>
        <v>10108</v>
      </c>
      <c r="F5" s="118">
        <f>[4]STA_SP2_NO!$C$25</f>
        <v>20099</v>
      </c>
      <c r="G5" s="143">
        <f>[5]STA_SP2_NO!$C$25</f>
        <v>18964</v>
      </c>
      <c r="H5" s="118">
        <f>[6]STA_SP2_NO!$C$25</f>
        <v>24031</v>
      </c>
      <c r="I5" s="143">
        <f>[7]STA_SP2_NO!$C$25</f>
        <v>39843</v>
      </c>
      <c r="J5" s="54">
        <f>[8]STA_SP2_NO!$C$25</f>
        <v>19870</v>
      </c>
      <c r="K5" s="143">
        <f>[9]STA_SP2_NO!$C$25</f>
        <v>12261</v>
      </c>
      <c r="L5" s="385">
        <f>[10]STA_SP2_NO!$C$25</f>
        <v>24829</v>
      </c>
      <c r="M5" s="330">
        <f>[11]STA_SP2_NO!$C$25</f>
        <v>1447</v>
      </c>
      <c r="N5" s="247">
        <f t="shared" ref="N5:N12" si="0">SUM(C5:M5)</f>
        <v>217417</v>
      </c>
    </row>
    <row r="6" spans="1:15" x14ac:dyDescent="0.25">
      <c r="A6" s="32">
        <v>2</v>
      </c>
      <c r="B6" s="33" t="s">
        <v>40</v>
      </c>
      <c r="C6" s="62">
        <f>[1]STA_SP2_NO!$C$26</f>
        <v>1053</v>
      </c>
      <c r="D6" s="118">
        <f>[2]STA_SP2_NO!$C$26</f>
        <v>1089</v>
      </c>
      <c r="E6" s="61">
        <f>[3]STA_SP2_NO!$C$26</f>
        <v>450</v>
      </c>
      <c r="F6" s="118">
        <f>[4]STA_SP2_NO!$C$26</f>
        <v>1092</v>
      </c>
      <c r="G6" s="143">
        <f>[5]STA_SP2_NO!$C$26</f>
        <v>490</v>
      </c>
      <c r="H6" s="118">
        <f>[6]STA_SP2_NO!$C$26</f>
        <v>591</v>
      </c>
      <c r="I6" s="143">
        <f>[7]STA_SP2_NO!$C$26</f>
        <v>1038</v>
      </c>
      <c r="J6" s="54">
        <f>[8]STA_SP2_NO!$C$26</f>
        <v>821</v>
      </c>
      <c r="K6" s="143">
        <f>[9]STA_SP2_NO!$C$26</f>
        <v>625</v>
      </c>
      <c r="L6" s="385">
        <f>[10]STA_SP2_NO!$C$26</f>
        <v>709</v>
      </c>
      <c r="M6" s="330">
        <f>[11]STA_SP2_NO!$C$26</f>
        <v>57</v>
      </c>
      <c r="N6" s="247">
        <f t="shared" si="0"/>
        <v>8015</v>
      </c>
    </row>
    <row r="7" spans="1:15" x14ac:dyDescent="0.25">
      <c r="A7" s="32">
        <v>3</v>
      </c>
      <c r="B7" s="33" t="s">
        <v>41</v>
      </c>
      <c r="C7" s="62">
        <f>[1]STA_SP2_NO!$C$27</f>
        <v>139</v>
      </c>
      <c r="D7" s="118">
        <f>[2]STA_SP2_NO!$C$27</f>
        <v>83</v>
      </c>
      <c r="E7" s="61">
        <f>[3]STA_SP2_NO!$C$27</f>
        <v>46</v>
      </c>
      <c r="F7" s="118">
        <f>[4]STA_SP2_NO!$C$27</f>
        <v>159</v>
      </c>
      <c r="G7" s="143">
        <f>[5]STA_SP2_NO!$C$27</f>
        <v>486</v>
      </c>
      <c r="H7" s="118">
        <f>[6]STA_SP2_NO!$C$27</f>
        <v>67</v>
      </c>
      <c r="I7" s="143">
        <f>[7]STA_SP2_NO!$C$27</f>
        <v>160</v>
      </c>
      <c r="J7" s="54">
        <f>[8]STA_SP2_NO!$C$27</f>
        <v>93</v>
      </c>
      <c r="K7" s="143">
        <f>[9]STA_SP2_NO!$C$27</f>
        <v>92</v>
      </c>
      <c r="L7" s="385">
        <f>[10]STA_SP2_NO!$C$27</f>
        <v>44</v>
      </c>
      <c r="M7" s="330">
        <f>[11]STA_SP2_NO!$C$27</f>
        <v>1</v>
      </c>
      <c r="N7" s="247">
        <f t="shared" si="0"/>
        <v>1370</v>
      </c>
    </row>
    <row r="8" spans="1:15" x14ac:dyDescent="0.25">
      <c r="A8" s="32">
        <v>4</v>
      </c>
      <c r="B8" s="33" t="s">
        <v>42</v>
      </c>
      <c r="C8" s="62">
        <f>[1]STA_SP2_NO!$C$28</f>
        <v>7</v>
      </c>
      <c r="D8" s="118">
        <f>[2]STA_SP2_NO!$C$28</f>
        <v>3</v>
      </c>
      <c r="E8" s="61">
        <f>[3]STA_SP2_NO!$C$28</f>
        <v>3</v>
      </c>
      <c r="F8" s="118">
        <f>[4]STA_SP2_NO!$C$28</f>
        <v>9</v>
      </c>
      <c r="G8" s="143">
        <f>[5]STA_SP2_NO!$C$28</f>
        <v>0</v>
      </c>
      <c r="H8" s="118">
        <f>[6]STA_SP2_NO!$C$28</f>
        <v>3</v>
      </c>
      <c r="I8" s="143">
        <f>[7]STA_SP2_NO!$C$28</f>
        <v>8</v>
      </c>
      <c r="J8" s="54">
        <f>[8]STA_SP2_NO!$C$28</f>
        <v>2</v>
      </c>
      <c r="K8" s="143">
        <f>[9]STA_SP2_NO!$C$28</f>
        <v>10</v>
      </c>
      <c r="L8" s="385">
        <f>[10]STA_SP2_NO!$C$28</f>
        <v>4</v>
      </c>
      <c r="M8" s="330">
        <f>[11]STA_SP2_NO!$C$28</f>
        <v>0</v>
      </c>
      <c r="N8" s="247">
        <f t="shared" si="0"/>
        <v>49</v>
      </c>
    </row>
    <row r="9" spans="1:15" x14ac:dyDescent="0.25">
      <c r="A9" s="32">
        <v>5</v>
      </c>
      <c r="B9" s="33" t="s">
        <v>43</v>
      </c>
      <c r="C9" s="62">
        <f>[1]STA_SP2_NO!$C$29</f>
        <v>27</v>
      </c>
      <c r="D9" s="118">
        <f>[2]STA_SP2_NO!$C$29</f>
        <v>11</v>
      </c>
      <c r="E9" s="61">
        <f>[3]STA_SP2_NO!$C$29</f>
        <v>7</v>
      </c>
      <c r="F9" s="118">
        <f>[4]STA_SP2_NO!$C$29</f>
        <v>6</v>
      </c>
      <c r="G9" s="143">
        <f>[5]STA_SP2_NO!$C$29</f>
        <v>7</v>
      </c>
      <c r="H9" s="118">
        <f>[6]STA_SP2_NO!$C$29</f>
        <v>11</v>
      </c>
      <c r="I9" s="143">
        <f>[7]STA_SP2_NO!$C$29</f>
        <v>26</v>
      </c>
      <c r="J9" s="54">
        <f>[8]STA_SP2_NO!$C$29</f>
        <v>15</v>
      </c>
      <c r="K9" s="143">
        <f>[9]STA_SP2_NO!$C$29</f>
        <v>4</v>
      </c>
      <c r="L9" s="385">
        <f>[10]STA_SP2_NO!$C$29</f>
        <v>15</v>
      </c>
      <c r="M9" s="330">
        <f>[11]STA_SP2_NO!$C$29</f>
        <v>0</v>
      </c>
      <c r="N9" s="247">
        <f t="shared" si="0"/>
        <v>129</v>
      </c>
    </row>
    <row r="10" spans="1:15" x14ac:dyDescent="0.25">
      <c r="A10" s="32">
        <v>6</v>
      </c>
      <c r="B10" s="33" t="s">
        <v>44</v>
      </c>
      <c r="C10" s="62">
        <f>[1]STA_SP2_NO!$C$30</f>
        <v>622</v>
      </c>
      <c r="D10" s="118">
        <f>[2]STA_SP2_NO!$C$30</f>
        <v>373</v>
      </c>
      <c r="E10" s="61">
        <f>[3]STA_SP2_NO!$C$30</f>
        <v>176</v>
      </c>
      <c r="F10" s="118">
        <f>[4]STA_SP2_NO!$C$30</f>
        <v>806</v>
      </c>
      <c r="G10" s="143">
        <f>[5]STA_SP2_NO!$C$30</f>
        <v>307</v>
      </c>
      <c r="H10" s="118">
        <f>[6]STA_SP2_NO!$C$30</f>
        <v>578</v>
      </c>
      <c r="I10" s="143">
        <f>[7]STA_SP2_NO!$C$30</f>
        <v>789</v>
      </c>
      <c r="J10" s="54">
        <f>[8]STA_SP2_NO!$C$30</f>
        <v>423</v>
      </c>
      <c r="K10" s="143">
        <f>[9]STA_SP2_NO!$C$30</f>
        <v>242</v>
      </c>
      <c r="L10" s="385">
        <f>[10]STA_SP2_NO!$C$30</f>
        <v>660</v>
      </c>
      <c r="M10" s="330">
        <f>[11]STA_SP2_NO!$C$30</f>
        <v>18</v>
      </c>
      <c r="N10" s="247">
        <f t="shared" si="0"/>
        <v>4994</v>
      </c>
    </row>
    <row r="11" spans="1:15" x14ac:dyDescent="0.25">
      <c r="A11" s="32">
        <v>7</v>
      </c>
      <c r="B11" s="33" t="s">
        <v>45</v>
      </c>
      <c r="C11" s="62">
        <f>[1]STA_SP2_NO!$C$31</f>
        <v>941</v>
      </c>
      <c r="D11" s="118">
        <f>[2]STA_SP2_NO!$C$31</f>
        <v>1043</v>
      </c>
      <c r="E11" s="61">
        <f>[3]STA_SP2_NO!$C$31</f>
        <v>380</v>
      </c>
      <c r="F11" s="118">
        <f>[4]STA_SP2_NO!$C$31</f>
        <v>946</v>
      </c>
      <c r="G11" s="143">
        <f>[5]STA_SP2_NO!$C$31</f>
        <v>393</v>
      </c>
      <c r="H11" s="118">
        <f>[6]STA_SP2_NO!$C$31</f>
        <v>550</v>
      </c>
      <c r="I11" s="143">
        <f>[7]STA_SP2_NO!$C$31</f>
        <v>1016</v>
      </c>
      <c r="J11" s="54">
        <f>[8]STA_SP2_NO!$C$31</f>
        <v>774</v>
      </c>
      <c r="K11" s="143">
        <f>[9]STA_SP2_NO!$C$31</f>
        <v>531</v>
      </c>
      <c r="L11" s="385">
        <f>[10]STA_SP2_NO!$C$31</f>
        <v>617</v>
      </c>
      <c r="M11" s="330">
        <f>[11]STA_SP2_NO!$C$31</f>
        <v>49</v>
      </c>
      <c r="N11" s="247">
        <f t="shared" si="0"/>
        <v>7240</v>
      </c>
    </row>
    <row r="12" spans="1:15" ht="15.75" thickBot="1" x14ac:dyDescent="0.3">
      <c r="A12" s="34">
        <v>8</v>
      </c>
      <c r="B12" s="35" t="s">
        <v>46</v>
      </c>
      <c r="C12" s="62">
        <f>[1]STA_SP2_NO!$C$32</f>
        <v>6</v>
      </c>
      <c r="D12" s="118">
        <f>[2]STA_SP2_NO!$C$32</f>
        <v>0</v>
      </c>
      <c r="E12" s="61">
        <f>[3]STA_SP2_NO!$C$32</f>
        <v>3</v>
      </c>
      <c r="F12" s="118">
        <f>[4]STA_SP2_NO!$C$32</f>
        <v>2</v>
      </c>
      <c r="G12" s="143">
        <f>[5]STA_SP2_NO!$C$32</f>
        <v>4</v>
      </c>
      <c r="H12" s="118">
        <f>[6]STA_SP2_NO!$C$32</f>
        <v>3</v>
      </c>
      <c r="I12" s="143">
        <f>[7]STA_SP2_NO!$C$32</f>
        <v>2</v>
      </c>
      <c r="J12" s="54">
        <f>[8]STA_SP2_NO!$C$32</f>
        <v>3</v>
      </c>
      <c r="K12" s="143">
        <f>[9]STA_SP2_NO!$C$32</f>
        <v>0</v>
      </c>
      <c r="L12" s="385">
        <f>[10]STA_SP2_NO!$C$32</f>
        <v>0</v>
      </c>
      <c r="M12" s="330">
        <f>[11]STA_SP2_NO!$C$32</f>
        <v>0</v>
      </c>
      <c r="N12" s="247">
        <f t="shared" si="0"/>
        <v>23</v>
      </c>
    </row>
    <row r="13" spans="1:15" ht="15.75" thickBot="1" x14ac:dyDescent="0.3">
      <c r="A13" s="57"/>
      <c r="B13" s="37" t="s">
        <v>3</v>
      </c>
      <c r="C13" s="41">
        <f t="shared" ref="C13:F13" si="1">SUM(C5:C12)</f>
        <v>31156</v>
      </c>
      <c r="D13" s="39">
        <f t="shared" si="1"/>
        <v>20206</v>
      </c>
      <c r="E13" s="41">
        <f t="shared" si="1"/>
        <v>11173</v>
      </c>
      <c r="F13" s="39">
        <f t="shared" si="1"/>
        <v>23119</v>
      </c>
      <c r="G13" s="40">
        <f t="shared" ref="G13:N13" si="2">SUM(G5:G12)</f>
        <v>20651</v>
      </c>
      <c r="H13" s="39">
        <f t="shared" si="2"/>
        <v>25834</v>
      </c>
      <c r="I13" s="40">
        <f t="shared" si="2"/>
        <v>42882</v>
      </c>
      <c r="J13" s="39">
        <f t="shared" si="2"/>
        <v>22001</v>
      </c>
      <c r="K13" s="40">
        <f t="shared" si="2"/>
        <v>13765</v>
      </c>
      <c r="L13" s="378">
        <f t="shared" si="2"/>
        <v>26878</v>
      </c>
      <c r="M13" s="331">
        <f t="shared" si="2"/>
        <v>1572</v>
      </c>
      <c r="N13" s="248">
        <f t="shared" si="2"/>
        <v>239237</v>
      </c>
    </row>
    <row r="14" spans="1:15" ht="15.75" thickBot="1" x14ac:dyDescent="0.3">
      <c r="A14" s="1"/>
      <c r="B14" s="1"/>
      <c r="C14" s="1"/>
      <c r="D14" s="1"/>
      <c r="E14" s="1"/>
      <c r="F14" s="1"/>
      <c r="G14" s="339"/>
      <c r="H14" s="1"/>
      <c r="I14" s="339"/>
      <c r="J14" s="1"/>
      <c r="K14" s="339"/>
      <c r="L14" s="1"/>
      <c r="M14" s="346"/>
      <c r="N14" s="1"/>
    </row>
    <row r="15" spans="1:15" ht="15.75" thickBot="1" x14ac:dyDescent="0.3">
      <c r="A15" s="446" t="s">
        <v>53</v>
      </c>
      <c r="B15" s="518"/>
      <c r="C15" s="48">
        <f>C13/N13</f>
        <v>0.13023069174082605</v>
      </c>
      <c r="D15" s="56">
        <f>D13/N13</f>
        <v>8.4460179654484879E-2</v>
      </c>
      <c r="E15" s="48">
        <f>E13/N13</f>
        <v>4.6702642149834682E-2</v>
      </c>
      <c r="F15" s="47">
        <f>F13/N13</f>
        <v>9.6636389856084137E-2</v>
      </c>
      <c r="G15" s="70">
        <f>G13/N13</f>
        <v>8.6320259826030254E-2</v>
      </c>
      <c r="H15" s="47">
        <f>H13/N13</f>
        <v>0.10798496888023174</v>
      </c>
      <c r="I15" s="70">
        <f>I13/N13</f>
        <v>0.179244849249907</v>
      </c>
      <c r="J15" s="47">
        <f>J13/N13</f>
        <v>9.1963199672291496E-2</v>
      </c>
      <c r="K15" s="70">
        <f>K13/N13</f>
        <v>5.7537086654656261E-2</v>
      </c>
      <c r="L15" s="47">
        <f>L13/N13</f>
        <v>0.11234884236134043</v>
      </c>
      <c r="M15" s="340">
        <f>M13/N13</f>
        <v>6.5708899543130868E-3</v>
      </c>
      <c r="N15" s="256">
        <f>SUM(C15:M15)</f>
        <v>1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26"/>
      <c r="B18" s="26"/>
      <c r="C18" s="458" t="s">
        <v>109</v>
      </c>
      <c r="D18" s="459"/>
      <c r="E18" s="459"/>
      <c r="F18" s="459"/>
      <c r="G18" s="459"/>
      <c r="H18" s="459"/>
      <c r="I18" s="459"/>
      <c r="J18" s="460"/>
      <c r="K18" s="460"/>
      <c r="L18" s="26"/>
      <c r="M18" s="26"/>
      <c r="N18" s="155" t="s">
        <v>36</v>
      </c>
    </row>
    <row r="19" spans="1:15" ht="15.75" thickBot="1" x14ac:dyDescent="0.3">
      <c r="A19" s="461" t="s">
        <v>0</v>
      </c>
      <c r="B19" s="463" t="s">
        <v>1</v>
      </c>
      <c r="C19" s="483" t="s">
        <v>2</v>
      </c>
      <c r="D19" s="484"/>
      <c r="E19" s="484"/>
      <c r="F19" s="484"/>
      <c r="G19" s="484"/>
      <c r="H19" s="484"/>
      <c r="I19" s="484"/>
      <c r="J19" s="484"/>
      <c r="K19" s="484"/>
      <c r="L19" s="484"/>
      <c r="M19" s="485"/>
      <c r="N19" s="488" t="s">
        <v>3</v>
      </c>
    </row>
    <row r="20" spans="1:15" x14ac:dyDescent="0.25">
      <c r="A20" s="501"/>
      <c r="B20" s="502"/>
      <c r="C20" s="522" t="s">
        <v>69</v>
      </c>
      <c r="D20" s="463" t="s">
        <v>4</v>
      </c>
      <c r="E20" s="495" t="s">
        <v>5</v>
      </c>
      <c r="F20" s="463" t="s">
        <v>6</v>
      </c>
      <c r="G20" s="497" t="s">
        <v>8</v>
      </c>
      <c r="H20" s="463" t="s">
        <v>94</v>
      </c>
      <c r="I20" s="495" t="s">
        <v>9</v>
      </c>
      <c r="J20" s="505" t="s">
        <v>10</v>
      </c>
      <c r="K20" s="495" t="s">
        <v>93</v>
      </c>
      <c r="L20" s="463" t="s">
        <v>11</v>
      </c>
      <c r="M20" s="499" t="s">
        <v>96</v>
      </c>
      <c r="N20" s="489"/>
    </row>
    <row r="21" spans="1:15" ht="15.75" thickBot="1" x14ac:dyDescent="0.3">
      <c r="A21" s="496"/>
      <c r="B21" s="503"/>
      <c r="C21" s="510"/>
      <c r="D21" s="496"/>
      <c r="E21" s="496"/>
      <c r="F21" s="496"/>
      <c r="G21" s="498"/>
      <c r="H21" s="464"/>
      <c r="I21" s="504"/>
      <c r="J21" s="506"/>
      <c r="K21" s="504"/>
      <c r="L21" s="464"/>
      <c r="M21" s="500"/>
      <c r="N21" s="490"/>
    </row>
    <row r="22" spans="1:15" x14ac:dyDescent="0.25">
      <c r="A22" s="30">
        <v>1</v>
      </c>
      <c r="B22" s="31" t="s">
        <v>39</v>
      </c>
      <c r="C22" s="62">
        <f>[1]STA_SP2_NO!$D$25</f>
        <v>136766.69</v>
      </c>
      <c r="D22" s="118">
        <f>[2]STA_SP2_NO!$D$25</f>
        <v>79616.97</v>
      </c>
      <c r="E22" s="61">
        <f>[3]STA_SP2_NO!$D$25</f>
        <v>47296</v>
      </c>
      <c r="F22" s="386">
        <f>[4]STA_SP2_NO!$D$25</f>
        <v>91988.86</v>
      </c>
      <c r="G22" s="143">
        <f>[5]STA_SP2_NO!$D$25</f>
        <v>85345</v>
      </c>
      <c r="H22" s="118">
        <f>[6]STA_SP2_NO!$D$25</f>
        <v>105548.97</v>
      </c>
      <c r="I22" s="143">
        <f>[7]STA_SP2_NO!$D$25</f>
        <v>179253</v>
      </c>
      <c r="J22" s="54">
        <f>[8]STA_SP2_NO!$D$25</f>
        <v>89862</v>
      </c>
      <c r="K22" s="143">
        <f>[9]STA_SP2_NO!$D$25</f>
        <v>60108.58</v>
      </c>
      <c r="L22" s="385">
        <f>[10]STA_SP2_NO!$D$25</f>
        <v>110783</v>
      </c>
      <c r="M22" s="330">
        <f>[11]STA_SP2_NO!$D$25</f>
        <v>6512.26</v>
      </c>
      <c r="N22" s="247">
        <f t="shared" ref="N22:N29" si="3">SUM(C22:M22)</f>
        <v>993081.33</v>
      </c>
    </row>
    <row r="23" spans="1:15" x14ac:dyDescent="0.25">
      <c r="A23" s="32">
        <v>2</v>
      </c>
      <c r="B23" s="33" t="s">
        <v>40</v>
      </c>
      <c r="C23" s="62">
        <f>[1]STA_SP2_NO!$D$26</f>
        <v>17995.400000000001</v>
      </c>
      <c r="D23" s="118">
        <f>[2]STA_SP2_NO!$D$26</f>
        <v>17384.07</v>
      </c>
      <c r="E23" s="61">
        <f>[3]STA_SP2_NO!$D$26</f>
        <v>7687</v>
      </c>
      <c r="F23" s="386">
        <f>[4]STA_SP2_NO!$D$26</f>
        <v>16886.400000000001</v>
      </c>
      <c r="G23" s="143">
        <f>[5]STA_SP2_NO!$D$26</f>
        <v>8232</v>
      </c>
      <c r="H23" s="118">
        <f>[6]STA_SP2_NO!$D$26</f>
        <v>9619.7800000000007</v>
      </c>
      <c r="I23" s="143">
        <f>[7]STA_SP2_NO!$D$26</f>
        <v>17444</v>
      </c>
      <c r="J23" s="54">
        <f>[8]STA_SP2_NO!$D$26</f>
        <v>13021</v>
      </c>
      <c r="K23" s="143">
        <f>[9]STA_SP2_NO!$D$26</f>
        <v>10709.01</v>
      </c>
      <c r="L23" s="385">
        <f>[10]STA_SP2_NO!$D$26</f>
        <v>11156</v>
      </c>
      <c r="M23" s="330">
        <f>[11]STA_SP2_NO!$D$26</f>
        <v>912.77</v>
      </c>
      <c r="N23" s="247">
        <f t="shared" si="3"/>
        <v>131047.43</v>
      </c>
    </row>
    <row r="24" spans="1:15" x14ac:dyDescent="0.25">
      <c r="A24" s="32">
        <v>3</v>
      </c>
      <c r="B24" s="33" t="s">
        <v>41</v>
      </c>
      <c r="C24" s="62">
        <f>[1]STA_SP2_NO!$D$27</f>
        <v>2397.16</v>
      </c>
      <c r="D24" s="118">
        <f>[2]STA_SP2_NO!$D$27</f>
        <v>1344.81</v>
      </c>
      <c r="E24" s="61">
        <f>[3]STA_SP2_NO!$D$27</f>
        <v>792</v>
      </c>
      <c r="F24" s="386">
        <f>[4]STA_SP2_NO!$D$27</f>
        <v>2466.64</v>
      </c>
      <c r="G24" s="143">
        <f>[5]STA_SP2_NO!$D$27</f>
        <v>4486</v>
      </c>
      <c r="H24" s="118">
        <f>[6]STA_SP2_NO!$D$27</f>
        <v>1052.3399999999999</v>
      </c>
      <c r="I24" s="143">
        <f>[7]STA_SP2_NO!$D$27</f>
        <v>2713</v>
      </c>
      <c r="J24" s="54">
        <f>[8]STA_SP2_NO!$D$27</f>
        <v>1536</v>
      </c>
      <c r="K24" s="143">
        <f>[9]STA_SP2_NO!$D$27</f>
        <v>1584.42</v>
      </c>
      <c r="L24" s="385">
        <f>[10]STA_SP2_NO!$D$27</f>
        <v>741</v>
      </c>
      <c r="M24" s="330">
        <f>[11]STA_SP2_NO!$D$27</f>
        <v>0</v>
      </c>
      <c r="N24" s="247">
        <f t="shared" si="3"/>
        <v>19113.369999999995</v>
      </c>
    </row>
    <row r="25" spans="1:15" x14ac:dyDescent="0.25">
      <c r="A25" s="32">
        <v>4</v>
      </c>
      <c r="B25" s="33" t="s">
        <v>42</v>
      </c>
      <c r="C25" s="62">
        <f>[1]STA_SP2_NO!$D$28</f>
        <v>38.75</v>
      </c>
      <c r="D25" s="118">
        <f>[2]STA_SP2_NO!$D$28</f>
        <v>16.600000000000001</v>
      </c>
      <c r="E25" s="61">
        <f>[3]STA_SP2_NO!$D$28</f>
        <v>17</v>
      </c>
      <c r="F25" s="386">
        <f>[4]STA_SP2_NO!$D$28</f>
        <v>67.959999999999994</v>
      </c>
      <c r="G25" s="143">
        <f>[5]STA_SP2_NO!$D$28</f>
        <v>0</v>
      </c>
      <c r="H25" s="118">
        <f>[6]STA_SP2_NO!$D$28</f>
        <v>16.61</v>
      </c>
      <c r="I25" s="143">
        <f>[7]STA_SP2_NO!$D$28</f>
        <v>44</v>
      </c>
      <c r="J25" s="54">
        <f>[8]STA_SP2_NO!$D$28</f>
        <v>34</v>
      </c>
      <c r="K25" s="143">
        <f>[9]STA_SP2_NO!$D$28</f>
        <v>55.36</v>
      </c>
      <c r="L25" s="385">
        <f>[10]STA_SP2_NO!$D$28</f>
        <v>27</v>
      </c>
      <c r="M25" s="330">
        <f>[11]STA_SP2_NO!$D$28</f>
        <v>0</v>
      </c>
      <c r="N25" s="247">
        <f t="shared" si="3"/>
        <v>317.28000000000003</v>
      </c>
    </row>
    <row r="26" spans="1:15" x14ac:dyDescent="0.25">
      <c r="A26" s="32">
        <v>5</v>
      </c>
      <c r="B26" s="33" t="s">
        <v>43</v>
      </c>
      <c r="C26" s="62">
        <f>[1]STA_SP2_NO!$D$29</f>
        <v>149.47</v>
      </c>
      <c r="D26" s="118">
        <f>[2]STA_SP2_NO!$D$29</f>
        <v>55.66</v>
      </c>
      <c r="E26" s="61">
        <f>[3]STA_SP2_NO!$D$29</f>
        <v>39</v>
      </c>
      <c r="F26" s="386">
        <f>[4]STA_SP2_NO!$D$29</f>
        <v>33.22</v>
      </c>
      <c r="G26" s="143">
        <f>[5]STA_SP2_NO!$D$29</f>
        <v>39</v>
      </c>
      <c r="H26" s="118">
        <f>[6]STA_SP2_NO!$D$29</f>
        <v>60.9</v>
      </c>
      <c r="I26" s="143">
        <f>[7]STA_SP2_NO!$D$29</f>
        <v>138</v>
      </c>
      <c r="J26" s="54">
        <f>[8]STA_SP2_NO!$D$29</f>
        <v>78</v>
      </c>
      <c r="K26" s="143">
        <f>[9]STA_SP2_NO!$D$29</f>
        <v>22.14</v>
      </c>
      <c r="L26" s="385">
        <f>[10]STA_SP2_NO!$D$29</f>
        <v>84</v>
      </c>
      <c r="M26" s="330">
        <f>[11]STA_SP2_NO!$D$29</f>
        <v>0</v>
      </c>
      <c r="N26" s="247">
        <f t="shared" si="3"/>
        <v>699.39</v>
      </c>
    </row>
    <row r="27" spans="1:15" x14ac:dyDescent="0.25">
      <c r="A27" s="32">
        <v>6</v>
      </c>
      <c r="B27" s="33" t="s">
        <v>44</v>
      </c>
      <c r="C27" s="62">
        <f>[1]STA_SP2_NO!$D$30</f>
        <v>1160.9000000000001</v>
      </c>
      <c r="D27" s="118">
        <f>[2]STA_SP2_NO!$D$30</f>
        <v>652.85</v>
      </c>
      <c r="E27" s="61">
        <f>[3]STA_SP2_NO!$D$30</f>
        <v>326</v>
      </c>
      <c r="F27" s="386">
        <f>[4]STA_SP2_NO!$D$30</f>
        <v>1418.84</v>
      </c>
      <c r="G27" s="143">
        <f>[5]STA_SP2_NO!$D$30</f>
        <v>544</v>
      </c>
      <c r="H27" s="118">
        <f>[6]STA_SP2_NO!$D$30</f>
        <v>1013.5</v>
      </c>
      <c r="I27" s="143">
        <f>[7]STA_SP2_NO!$D$30</f>
        <v>1444</v>
      </c>
      <c r="J27" s="54">
        <f>[8]STA_SP2_NO!$D$30</f>
        <v>753</v>
      </c>
      <c r="K27" s="143">
        <f>[9]STA_SP2_NO!$D$30</f>
        <v>447.7</v>
      </c>
      <c r="L27" s="385">
        <f>[10]STA_SP2_NO!$D$30</f>
        <v>1171</v>
      </c>
      <c r="M27" s="330">
        <f>[11]STA_SP2_NO!$D$30</f>
        <v>33.299999999999997</v>
      </c>
      <c r="N27" s="247">
        <f t="shared" si="3"/>
        <v>8965.09</v>
      </c>
    </row>
    <row r="28" spans="1:15" x14ac:dyDescent="0.25">
      <c r="A28" s="32">
        <v>7</v>
      </c>
      <c r="B28" s="33" t="s">
        <v>45</v>
      </c>
      <c r="C28" s="62">
        <f>[1]STA_SP2_NO!$D$31</f>
        <v>5236.08</v>
      </c>
      <c r="D28" s="118">
        <f>[2]STA_SP2_NO!$D$31</f>
        <v>5402.29</v>
      </c>
      <c r="E28" s="61">
        <f>[3]STA_SP2_NO!$D$31</f>
        <v>2099</v>
      </c>
      <c r="F28" s="386">
        <f>[4]STA_SP2_NO!$D$31</f>
        <v>4854.2299999999996</v>
      </c>
      <c r="G28" s="143">
        <f>[5]STA_SP2_NO!$D$31</f>
        <v>2082</v>
      </c>
      <c r="H28" s="118">
        <f>[6]STA_SP2_NO!$D$31</f>
        <v>2819.65</v>
      </c>
      <c r="I28" s="143">
        <f>[7]STA_SP2_NO!$D$31</f>
        <v>5582</v>
      </c>
      <c r="J28" s="54">
        <f>[8]STA_SP2_NO!$D$31</f>
        <v>4069</v>
      </c>
      <c r="K28" s="143">
        <f>[9]STA_SP2_NO!$D$31</f>
        <v>2928.54</v>
      </c>
      <c r="L28" s="385">
        <f>[10]STA_SP2_NO!$D$31</f>
        <v>3175</v>
      </c>
      <c r="M28" s="330">
        <f>[11]STA_SP2_NO!$D$31</f>
        <v>271.26</v>
      </c>
      <c r="N28" s="247">
        <f t="shared" si="3"/>
        <v>38519.050000000003</v>
      </c>
    </row>
    <row r="29" spans="1:15" ht="15.75" thickBot="1" x14ac:dyDescent="0.3">
      <c r="A29" s="34">
        <v>8</v>
      </c>
      <c r="B29" s="35" t="s">
        <v>46</v>
      </c>
      <c r="C29" s="62">
        <f>[1]STA_SP2_NO!$D$32</f>
        <v>33.520000000000003</v>
      </c>
      <c r="D29" s="118">
        <f>[2]STA_SP2_NO!$D$32</f>
        <v>0</v>
      </c>
      <c r="E29" s="61">
        <f>[3]STA_SP2_NO!$D$32</f>
        <v>17</v>
      </c>
      <c r="F29" s="386">
        <f>[4]STA_SP2_NO!$D$32</f>
        <v>11.07</v>
      </c>
      <c r="G29" s="143">
        <f>[5]STA_SP2_NO!$D$32</f>
        <v>22</v>
      </c>
      <c r="H29" s="118">
        <f>[6]STA_SP2_NO!$D$32</f>
        <v>16.61</v>
      </c>
      <c r="I29" s="143">
        <f>[7]STA_SP2_NO!$D$32</f>
        <v>11</v>
      </c>
      <c r="J29" s="54">
        <f>[8]STA_SP2_NO!$D$32</f>
        <v>17</v>
      </c>
      <c r="K29" s="143">
        <f>[9]STA_SP2_NO!$D$32</f>
        <v>0</v>
      </c>
      <c r="L29" s="385">
        <f>[10]STA_SP2_NO!$D$32</f>
        <v>0</v>
      </c>
      <c r="M29" s="330">
        <f>[11]STA_SP2_NO!$D$32</f>
        <v>0</v>
      </c>
      <c r="N29" s="247">
        <f t="shared" si="3"/>
        <v>128.19999999999999</v>
      </c>
    </row>
    <row r="30" spans="1:15" ht="15.75" thickBot="1" x14ac:dyDescent="0.3">
      <c r="A30" s="57"/>
      <c r="B30" s="37" t="s">
        <v>3</v>
      </c>
      <c r="C30" s="41">
        <f t="shared" ref="C30:E30" si="4">SUM(C22:C29)</f>
        <v>163777.96999999997</v>
      </c>
      <c r="D30" s="39">
        <f t="shared" si="4"/>
        <v>104473.25000000001</v>
      </c>
      <c r="E30" s="41">
        <f t="shared" si="4"/>
        <v>58273</v>
      </c>
      <c r="F30" s="51">
        <f t="shared" ref="F30:N30" si="5">SUM(F22:F29)</f>
        <v>117727.22000000002</v>
      </c>
      <c r="G30" s="40">
        <f t="shared" si="5"/>
        <v>100750</v>
      </c>
      <c r="H30" s="39">
        <f t="shared" si="5"/>
        <v>120148.35999999999</v>
      </c>
      <c r="I30" s="40">
        <f t="shared" si="5"/>
        <v>206629</v>
      </c>
      <c r="J30" s="39">
        <f t="shared" si="5"/>
        <v>109370</v>
      </c>
      <c r="K30" s="40">
        <f t="shared" si="5"/>
        <v>75855.749999999985</v>
      </c>
      <c r="L30" s="378">
        <f t="shared" si="5"/>
        <v>127137</v>
      </c>
      <c r="M30" s="331">
        <f t="shared" si="5"/>
        <v>7729.5900000000011</v>
      </c>
      <c r="N30" s="248">
        <f t="shared" si="5"/>
        <v>1191871.1399999999</v>
      </c>
    </row>
    <row r="31" spans="1:15" ht="15.75" thickBot="1" x14ac:dyDescent="0.3">
      <c r="A31" s="1"/>
      <c r="B31" s="1"/>
      <c r="C31" s="1"/>
      <c r="D31" s="1"/>
      <c r="E31" s="1"/>
      <c r="F31" s="1"/>
      <c r="G31" s="339"/>
      <c r="H31" s="1"/>
      <c r="I31" s="339"/>
      <c r="J31" s="1"/>
      <c r="K31" s="339"/>
      <c r="L31" s="1"/>
      <c r="M31" s="346"/>
      <c r="N31" s="1"/>
    </row>
    <row r="32" spans="1:15" ht="15.75" thickBot="1" x14ac:dyDescent="0.3">
      <c r="A32" s="446" t="s">
        <v>53</v>
      </c>
      <c r="B32" s="518"/>
      <c r="C32" s="48">
        <f>C30/N30</f>
        <v>0.13741248068142667</v>
      </c>
      <c r="D32" s="56">
        <f>D30/N30</f>
        <v>8.7654819798724234E-2</v>
      </c>
      <c r="E32" s="48">
        <f>E30/N30</f>
        <v>4.889203039180897E-2</v>
      </c>
      <c r="F32" s="47">
        <f>F30/N30</f>
        <v>9.8775124297413586E-2</v>
      </c>
      <c r="G32" s="70">
        <f>G30/N30</f>
        <v>8.4530950216648429E-2</v>
      </c>
      <c r="H32" s="47">
        <f>H30/N30</f>
        <v>0.10080650161560251</v>
      </c>
      <c r="I32" s="70">
        <f>I30/N30</f>
        <v>0.17336521798824664</v>
      </c>
      <c r="J32" s="47">
        <f>J30/N30</f>
        <v>9.1763275684316012E-2</v>
      </c>
      <c r="K32" s="70">
        <f>K30/N30</f>
        <v>6.3644254361255856E-2</v>
      </c>
      <c r="L32" s="387">
        <f>L30/N30</f>
        <v>0.10667008851309212</v>
      </c>
      <c r="M32" s="340">
        <f>M30/N30</f>
        <v>6.4852564514650485E-3</v>
      </c>
      <c r="N32" s="256">
        <f>SUM(C32:M32)</f>
        <v>1</v>
      </c>
    </row>
  </sheetData>
  <mergeCells count="34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  <mergeCell ref="A15:B15"/>
    <mergeCell ref="C1:K1"/>
    <mergeCell ref="A2:A4"/>
    <mergeCell ref="B2:B4"/>
    <mergeCell ref="H3:H4"/>
    <mergeCell ref="I3:I4"/>
    <mergeCell ref="J3:J4"/>
    <mergeCell ref="K3:K4"/>
    <mergeCell ref="C2:M2"/>
    <mergeCell ref="N2:N4"/>
    <mergeCell ref="C3:C4"/>
    <mergeCell ref="D3:D4"/>
    <mergeCell ref="E3:E4"/>
    <mergeCell ref="F3:F4"/>
    <mergeCell ref="G3:G4"/>
    <mergeCell ref="L3:L4"/>
    <mergeCell ref="M3:M4"/>
    <mergeCell ref="N19:N21"/>
    <mergeCell ref="C20:C21"/>
    <mergeCell ref="D20:D21"/>
    <mergeCell ref="E20:E21"/>
    <mergeCell ref="K20:K21"/>
    <mergeCell ref="L20:L21"/>
    <mergeCell ref="M20:M2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J35" sqref="J35"/>
    </sheetView>
  </sheetViews>
  <sheetFormatPr defaultRowHeight="15" x14ac:dyDescent="0.25"/>
  <cols>
    <col min="1" max="1" width="3.85546875" customWidth="1"/>
    <col min="2" max="2" width="20" customWidth="1"/>
  </cols>
  <sheetData>
    <row r="1" spans="1:15" ht="28.5" customHeight="1" thickBot="1" x14ac:dyDescent="0.3">
      <c r="A1" s="26"/>
      <c r="B1" s="26"/>
      <c r="C1" s="458" t="s">
        <v>107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52"/>
    </row>
    <row r="2" spans="1:15" ht="15.75" thickBot="1" x14ac:dyDescent="0.3">
      <c r="A2" s="461" t="s">
        <v>0</v>
      </c>
      <c r="B2" s="463" t="s">
        <v>1</v>
      </c>
      <c r="C2" s="483" t="s">
        <v>2</v>
      </c>
      <c r="D2" s="484"/>
      <c r="E2" s="484"/>
      <c r="F2" s="484"/>
      <c r="G2" s="484"/>
      <c r="H2" s="484"/>
      <c r="I2" s="484"/>
      <c r="J2" s="484"/>
      <c r="K2" s="484"/>
      <c r="L2" s="484"/>
      <c r="M2" s="485"/>
      <c r="N2" s="488" t="s">
        <v>3</v>
      </c>
    </row>
    <row r="3" spans="1:15" x14ac:dyDescent="0.25">
      <c r="A3" s="501"/>
      <c r="B3" s="502"/>
      <c r="C3" s="508" t="s">
        <v>69</v>
      </c>
      <c r="D3" s="502" t="s">
        <v>4</v>
      </c>
      <c r="E3" s="512" t="s">
        <v>5</v>
      </c>
      <c r="F3" s="463" t="s">
        <v>6</v>
      </c>
      <c r="G3" s="497" t="s">
        <v>8</v>
      </c>
      <c r="H3" s="463" t="s">
        <v>94</v>
      </c>
      <c r="I3" s="495" t="s">
        <v>9</v>
      </c>
      <c r="J3" s="505" t="s">
        <v>10</v>
      </c>
      <c r="K3" s="495" t="s">
        <v>93</v>
      </c>
      <c r="L3" s="463" t="s">
        <v>11</v>
      </c>
      <c r="M3" s="514" t="s">
        <v>96</v>
      </c>
      <c r="N3" s="489"/>
    </row>
    <row r="4" spans="1:15" ht="15.75" thickBot="1" x14ac:dyDescent="0.3">
      <c r="A4" s="496"/>
      <c r="B4" s="503"/>
      <c r="C4" s="510"/>
      <c r="D4" s="496"/>
      <c r="E4" s="496"/>
      <c r="F4" s="496"/>
      <c r="G4" s="498"/>
      <c r="H4" s="464"/>
      <c r="I4" s="504"/>
      <c r="J4" s="506"/>
      <c r="K4" s="504"/>
      <c r="L4" s="464"/>
      <c r="M4" s="516"/>
      <c r="N4" s="490"/>
    </row>
    <row r="5" spans="1:15" x14ac:dyDescent="0.25">
      <c r="A5" s="30">
        <v>1</v>
      </c>
      <c r="B5" s="31" t="s">
        <v>39</v>
      </c>
      <c r="C5" s="62">
        <f>[1]STA_SP2_NO!$C$34</f>
        <v>487</v>
      </c>
      <c r="D5" s="118">
        <f>[2]STA_SP2_NO!$C$34</f>
        <v>166</v>
      </c>
      <c r="E5" s="62">
        <f>[3]STA_SP2_NO!$C$34</f>
        <v>32720</v>
      </c>
      <c r="F5" s="118">
        <f>[4]STA_SP2_NO!$C$34</f>
        <v>257</v>
      </c>
      <c r="G5" s="389">
        <f>[5]STA_SP2_NO!$C$34</f>
        <v>230</v>
      </c>
      <c r="H5" s="54">
        <f>[6]STA_SP2_NO!$C$34</f>
        <v>6287</v>
      </c>
      <c r="I5" s="61">
        <f>[7]STA_SP2_NO!$C$34</f>
        <v>671</v>
      </c>
      <c r="J5" s="54">
        <f>[8]STA_SP2_NO!$C$34</f>
        <v>129</v>
      </c>
      <c r="K5" s="61">
        <f>[9]STA_SP2_NO!$C$34</f>
        <v>3814</v>
      </c>
      <c r="L5" s="388">
        <f>[10]STA_SP2_NO!$C$34</f>
        <v>164</v>
      </c>
      <c r="M5" s="330">
        <f>[11]STA_SP2_NO!$C$34</f>
        <v>716</v>
      </c>
      <c r="N5" s="247">
        <f t="shared" ref="N5:N13" si="0">SUM(C5:M5)</f>
        <v>45641</v>
      </c>
    </row>
    <row r="6" spans="1:15" x14ac:dyDescent="0.25">
      <c r="A6" s="32">
        <v>2</v>
      </c>
      <c r="B6" s="33" t="s">
        <v>40</v>
      </c>
      <c r="C6" s="62">
        <f>[1]STA_SP2_NO!$C$35</f>
        <v>13</v>
      </c>
      <c r="D6" s="118">
        <f>[2]STA_SP2_NO!$C$35</f>
        <v>1</v>
      </c>
      <c r="E6" s="62">
        <f>[3]STA_SP2_NO!$C$35</f>
        <v>467</v>
      </c>
      <c r="F6" s="118">
        <f>[4]STA_SP2_NO!$C$35</f>
        <v>3</v>
      </c>
      <c r="G6" s="389">
        <f>[5]STA_SP2_NO!$C$35</f>
        <v>1</v>
      </c>
      <c r="H6" s="54">
        <f>[6]STA_SP2_NO!$C$35</f>
        <v>0</v>
      </c>
      <c r="I6" s="61">
        <f>[7]STA_SP2_NO!$C$35</f>
        <v>0</v>
      </c>
      <c r="J6" s="54">
        <f>[8]STA_SP2_NO!$C$35</f>
        <v>1</v>
      </c>
      <c r="K6" s="61">
        <f>[9]STA_SP2_NO!$C$35</f>
        <v>21</v>
      </c>
      <c r="L6" s="388">
        <f>[10]STA_SP2_NO!$C$35</f>
        <v>3</v>
      </c>
      <c r="M6" s="330">
        <f>[11]STA_SP2_NO!$C$35</f>
        <v>1</v>
      </c>
      <c r="N6" s="247">
        <f t="shared" si="0"/>
        <v>511</v>
      </c>
    </row>
    <row r="7" spans="1:15" x14ac:dyDescent="0.25">
      <c r="A7" s="32">
        <v>3</v>
      </c>
      <c r="B7" s="33" t="s">
        <v>41</v>
      </c>
      <c r="C7" s="62">
        <f>[1]STA_SP2_NO!$C$36</f>
        <v>1</v>
      </c>
      <c r="D7" s="118">
        <f>[2]STA_SP2_NO!$C$36</f>
        <v>6</v>
      </c>
      <c r="E7" s="62">
        <f>[3]STA_SP2_NO!$C$36</f>
        <v>40</v>
      </c>
      <c r="F7" s="118">
        <f>[4]STA_SP2_NO!$C$36</f>
        <v>0</v>
      </c>
      <c r="G7" s="389">
        <f>[5]STA_SP2_NO!$C$36</f>
        <v>0</v>
      </c>
      <c r="H7" s="54">
        <f>[6]STA_SP2_NO!$C$36</f>
        <v>0</v>
      </c>
      <c r="I7" s="61">
        <f>[7]STA_SP2_NO!$C$36</f>
        <v>0</v>
      </c>
      <c r="J7" s="54">
        <f>[8]STA_SP2_NO!$C$36</f>
        <v>0</v>
      </c>
      <c r="K7" s="61">
        <f>[9]STA_SP2_NO!$C$36</f>
        <v>5</v>
      </c>
      <c r="L7" s="388">
        <f>[10]STA_SP2_NO!$C$36</f>
        <v>0</v>
      </c>
      <c r="M7" s="330">
        <f>[11]STA_SP2_NO!$C$36</f>
        <v>1</v>
      </c>
      <c r="N7" s="247">
        <f t="shared" si="0"/>
        <v>53</v>
      </c>
    </row>
    <row r="8" spans="1:15" x14ac:dyDescent="0.25">
      <c r="A8" s="32">
        <v>4</v>
      </c>
      <c r="B8" s="33" t="s">
        <v>42</v>
      </c>
      <c r="C8" s="62">
        <f>[1]STA_SP2_NO!$C$37</f>
        <v>2</v>
      </c>
      <c r="D8" s="118">
        <f>[2]STA_SP2_NO!$C$37</f>
        <v>0</v>
      </c>
      <c r="E8" s="62">
        <f>[3]STA_SP2_NO!$C$37</f>
        <v>1</v>
      </c>
      <c r="F8" s="118">
        <f>[4]STA_SP2_NO!$C$37</f>
        <v>1</v>
      </c>
      <c r="G8" s="389">
        <f>[5]STA_SP2_NO!$C$37</f>
        <v>0</v>
      </c>
      <c r="H8" s="54">
        <f>[6]STA_SP2_NO!$C$37</f>
        <v>0</v>
      </c>
      <c r="I8" s="61">
        <f>[7]STA_SP2_NO!$C$37</f>
        <v>0</v>
      </c>
      <c r="J8" s="54">
        <f>[8]STA_SP2_NO!$C$37</f>
        <v>0</v>
      </c>
      <c r="K8" s="61">
        <f>[9]STA_SP2_NO!$C$37</f>
        <v>0</v>
      </c>
      <c r="L8" s="388">
        <f>[10]STA_SP2_NO!$C$37</f>
        <v>0</v>
      </c>
      <c r="M8" s="330">
        <f>[11]STA_SP2_NO!$C$37</f>
        <v>1</v>
      </c>
      <c r="N8" s="247">
        <f t="shared" si="0"/>
        <v>5</v>
      </c>
    </row>
    <row r="9" spans="1:15" x14ac:dyDescent="0.25">
      <c r="A9" s="32">
        <v>5</v>
      </c>
      <c r="B9" s="33" t="s">
        <v>43</v>
      </c>
      <c r="C9" s="62">
        <f>[1]STA_SP2_NO!$C$38</f>
        <v>0</v>
      </c>
      <c r="D9" s="118">
        <f>[2]STA_SP2_NO!$C$38</f>
        <v>0</v>
      </c>
      <c r="E9" s="62">
        <f>[3]STA_SP2_NO!$C$38</f>
        <v>19</v>
      </c>
      <c r="F9" s="118">
        <f>[4]STA_SP2_NO!$C$38</f>
        <v>0</v>
      </c>
      <c r="G9" s="389">
        <f>[5]STA_SP2_NO!$C$38</f>
        <v>0</v>
      </c>
      <c r="H9" s="54">
        <f>[6]STA_SP2_NO!$C$38</f>
        <v>0</v>
      </c>
      <c r="I9" s="61">
        <f>[7]STA_SP2_NO!$C$38</f>
        <v>0</v>
      </c>
      <c r="J9" s="54">
        <f>[8]STA_SP2_NO!$C$38</f>
        <v>0</v>
      </c>
      <c r="K9" s="61">
        <f>[9]STA_SP2_NO!$C$38</f>
        <v>19</v>
      </c>
      <c r="L9" s="388">
        <f>[10]STA_SP2_NO!$C$38</f>
        <v>0</v>
      </c>
      <c r="M9" s="330">
        <f>[11]STA_SP2_NO!$C$38</f>
        <v>1</v>
      </c>
      <c r="N9" s="247">
        <f t="shared" si="0"/>
        <v>39</v>
      </c>
    </row>
    <row r="10" spans="1:15" x14ac:dyDescent="0.25">
      <c r="A10" s="32">
        <v>6</v>
      </c>
      <c r="B10" s="33" t="s">
        <v>44</v>
      </c>
      <c r="C10" s="62">
        <f>[1]STA_SP2_NO!$C$39</f>
        <v>15</v>
      </c>
      <c r="D10" s="118">
        <f>[2]STA_SP2_NO!$C$39</f>
        <v>0</v>
      </c>
      <c r="E10" s="62">
        <f>[3]STA_SP2_NO!$C$39</f>
        <v>40</v>
      </c>
      <c r="F10" s="118">
        <f>[4]STA_SP2_NO!$C$39</f>
        <v>4</v>
      </c>
      <c r="G10" s="389">
        <f>[5]STA_SP2_NO!$C$39</f>
        <v>14</v>
      </c>
      <c r="H10" s="54">
        <f>[6]STA_SP2_NO!$C$39</f>
        <v>0</v>
      </c>
      <c r="I10" s="61">
        <f>[7]STA_SP2_NO!$C$39</f>
        <v>0</v>
      </c>
      <c r="J10" s="54">
        <f>[8]STA_SP2_NO!$C$39</f>
        <v>9</v>
      </c>
      <c r="K10" s="61">
        <f>[9]STA_SP2_NO!$C$39</f>
        <v>406</v>
      </c>
      <c r="L10" s="388">
        <f>[10]STA_SP2_NO!$C$39</f>
        <v>8</v>
      </c>
      <c r="M10" s="330">
        <f>[11]STA_SP2_NO!$C$39</f>
        <v>101</v>
      </c>
      <c r="N10" s="247">
        <f t="shared" si="0"/>
        <v>597</v>
      </c>
    </row>
    <row r="11" spans="1:15" x14ac:dyDescent="0.25">
      <c r="A11" s="32">
        <v>7</v>
      </c>
      <c r="B11" s="33" t="s">
        <v>45</v>
      </c>
      <c r="C11" s="62">
        <f>[1]STA_SP2_NO!$C$40</f>
        <v>28</v>
      </c>
      <c r="D11" s="118">
        <f>[2]STA_SP2_NO!$C$40</f>
        <v>0</v>
      </c>
      <c r="E11" s="62">
        <f>[3]STA_SP2_NO!$C$40</f>
        <v>70</v>
      </c>
      <c r="F11" s="118">
        <f>[4]STA_SP2_NO!$C$40</f>
        <v>9</v>
      </c>
      <c r="G11" s="389">
        <f>[5]STA_SP2_NO!$C$40</f>
        <v>6</v>
      </c>
      <c r="H11" s="54">
        <f>[6]STA_SP2_NO!$C$40</f>
        <v>0</v>
      </c>
      <c r="I11" s="61">
        <f>[7]STA_SP2_NO!$C$40</f>
        <v>0</v>
      </c>
      <c r="J11" s="54">
        <f>[8]STA_SP2_NO!$C$40</f>
        <v>5</v>
      </c>
      <c r="K11" s="61">
        <f>[9]STA_SP2_NO!$C$40</f>
        <v>256</v>
      </c>
      <c r="L11" s="388">
        <f>[10]STA_SP2_NO!$C$40</f>
        <v>6</v>
      </c>
      <c r="M11" s="330">
        <f>[11]STA_SP2_NO!$C$40</f>
        <v>21</v>
      </c>
      <c r="N11" s="247">
        <f t="shared" si="0"/>
        <v>401</v>
      </c>
    </row>
    <row r="12" spans="1:15" ht="15.75" thickBot="1" x14ac:dyDescent="0.3">
      <c r="A12" s="34">
        <v>8</v>
      </c>
      <c r="B12" s="35" t="s">
        <v>46</v>
      </c>
      <c r="C12" s="62">
        <f>[1]STA_SP2_NO!$C$41</f>
        <v>0</v>
      </c>
      <c r="D12" s="118">
        <f>[2]STA_SP2_NO!$C$41</f>
        <v>0</v>
      </c>
      <c r="E12" s="62">
        <f>[3]STA_SP2_NO!$C$41</f>
        <v>2</v>
      </c>
      <c r="F12" s="118">
        <f>[4]STA_SP2_NO!$C$41</f>
        <v>0</v>
      </c>
      <c r="G12" s="389">
        <f>[5]STA_SP2_NO!$C$41</f>
        <v>0</v>
      </c>
      <c r="H12" s="54">
        <f>[6]STA_SP2_NO!$C$41</f>
        <v>0</v>
      </c>
      <c r="I12" s="61">
        <f>[7]STA_SP2_NO!$C$41</f>
        <v>0</v>
      </c>
      <c r="J12" s="54">
        <f>[8]STA_SP2_NO!$C$41</f>
        <v>0</v>
      </c>
      <c r="K12" s="61">
        <f>[9]STA_SP2_NO!$C$41</f>
        <v>0</v>
      </c>
      <c r="L12" s="388">
        <f>[10]STA_SP2_NO!$C$41</f>
        <v>0</v>
      </c>
      <c r="M12" s="330">
        <f>[11]STA_SP2_NO!$C$41</f>
        <v>0</v>
      </c>
      <c r="N12" s="247">
        <f t="shared" si="0"/>
        <v>2</v>
      </c>
    </row>
    <row r="13" spans="1:15" ht="15.75" thickBot="1" x14ac:dyDescent="0.3">
      <c r="A13" s="36"/>
      <c r="B13" s="37" t="s">
        <v>37</v>
      </c>
      <c r="C13" s="41">
        <f t="shared" ref="C13:F13" si="1">SUM(C5:C12)</f>
        <v>546</v>
      </c>
      <c r="D13" s="39">
        <f t="shared" si="1"/>
        <v>173</v>
      </c>
      <c r="E13" s="41">
        <f t="shared" si="1"/>
        <v>33359</v>
      </c>
      <c r="F13" s="39">
        <f t="shared" si="1"/>
        <v>274</v>
      </c>
      <c r="G13" s="390">
        <f t="shared" ref="G13:M13" si="2">SUM(G5:G12)</f>
        <v>251</v>
      </c>
      <c r="H13" s="39">
        <f t="shared" si="2"/>
        <v>6287</v>
      </c>
      <c r="I13" s="41">
        <f t="shared" si="2"/>
        <v>671</v>
      </c>
      <c r="J13" s="39">
        <f t="shared" si="2"/>
        <v>144</v>
      </c>
      <c r="K13" s="41">
        <f t="shared" si="2"/>
        <v>4521</v>
      </c>
      <c r="L13" s="378">
        <f t="shared" si="2"/>
        <v>181</v>
      </c>
      <c r="M13" s="331">
        <f t="shared" si="2"/>
        <v>842</v>
      </c>
      <c r="N13" s="248">
        <f t="shared" si="0"/>
        <v>47249</v>
      </c>
    </row>
    <row r="14" spans="1:15" ht="15.75" thickBot="1" x14ac:dyDescent="0.3">
      <c r="A14" s="1"/>
      <c r="B14" s="1"/>
      <c r="C14" s="1"/>
      <c r="D14" s="1"/>
      <c r="E14" s="1"/>
      <c r="F14" s="1"/>
      <c r="G14" s="339"/>
      <c r="H14" s="1"/>
      <c r="I14" s="339"/>
      <c r="J14" s="1"/>
      <c r="K14" s="339"/>
      <c r="L14" s="1"/>
      <c r="M14" s="346"/>
      <c r="N14" s="1"/>
    </row>
    <row r="15" spans="1:15" ht="15.75" thickBot="1" x14ac:dyDescent="0.3">
      <c r="A15" s="446" t="s">
        <v>53</v>
      </c>
      <c r="B15" s="518"/>
      <c r="C15" s="55">
        <f>C13/N13</f>
        <v>1.1555800122753921E-2</v>
      </c>
      <c r="D15" s="56">
        <f>D13/N13</f>
        <v>3.6614531524476706E-3</v>
      </c>
      <c r="E15" s="48">
        <f>E13/N13</f>
        <v>0.70602552434972166</v>
      </c>
      <c r="F15" s="47">
        <f>F13/N13</f>
        <v>5.799064530466253E-3</v>
      </c>
      <c r="G15" s="70">
        <f>G13/N13</f>
        <v>5.3122817414125167E-3</v>
      </c>
      <c r="H15" s="47">
        <f>H13/N13</f>
        <v>0.13306101716438443</v>
      </c>
      <c r="I15" s="70">
        <f>I13/N13</f>
        <v>1.4201358758915532E-2</v>
      </c>
      <c r="J15" s="47">
        <f>J13/N13</f>
        <v>3.047683548858177E-3</v>
      </c>
      <c r="K15" s="70">
        <f>K13/N13</f>
        <v>9.5684564752693185E-2</v>
      </c>
      <c r="L15" s="387">
        <f>L13/N13</f>
        <v>3.8307689051620139E-3</v>
      </c>
      <c r="M15" s="340">
        <f>M13/N13</f>
        <v>1.7820482973184618E-2</v>
      </c>
      <c r="N15" s="256">
        <f>SUM(C15:M15)</f>
        <v>1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A17" s="26"/>
      <c r="B17" s="26"/>
      <c r="C17" s="458" t="s">
        <v>110</v>
      </c>
      <c r="D17" s="459"/>
      <c r="E17" s="459"/>
      <c r="F17" s="459"/>
      <c r="G17" s="459"/>
      <c r="H17" s="459"/>
      <c r="I17" s="459"/>
      <c r="J17" s="460"/>
      <c r="K17" s="460"/>
      <c r="L17" s="26"/>
      <c r="M17" s="26"/>
      <c r="N17" s="155" t="s">
        <v>36</v>
      </c>
    </row>
    <row r="18" spans="1:14" ht="15.75" thickBot="1" x14ac:dyDescent="0.3">
      <c r="A18" s="461" t="s">
        <v>0</v>
      </c>
      <c r="B18" s="523" t="s">
        <v>1</v>
      </c>
      <c r="C18" s="375" t="s">
        <v>2</v>
      </c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488" t="s">
        <v>3</v>
      </c>
    </row>
    <row r="19" spans="1:14" x14ac:dyDescent="0.25">
      <c r="A19" s="501"/>
      <c r="B19" s="502"/>
      <c r="C19" s="522" t="s">
        <v>69</v>
      </c>
      <c r="D19" s="463" t="s">
        <v>4</v>
      </c>
      <c r="E19" s="495" t="s">
        <v>5</v>
      </c>
      <c r="F19" s="463" t="s">
        <v>6</v>
      </c>
      <c r="G19" s="495" t="s">
        <v>8</v>
      </c>
      <c r="H19" s="463" t="s">
        <v>94</v>
      </c>
      <c r="I19" s="495" t="s">
        <v>9</v>
      </c>
      <c r="J19" s="505" t="s">
        <v>10</v>
      </c>
      <c r="K19" s="495" t="s">
        <v>93</v>
      </c>
      <c r="L19" s="463" t="s">
        <v>11</v>
      </c>
      <c r="M19" s="514" t="s">
        <v>96</v>
      </c>
      <c r="N19" s="489"/>
    </row>
    <row r="20" spans="1:14" ht="15.75" thickBot="1" x14ac:dyDescent="0.3">
      <c r="A20" s="496"/>
      <c r="B20" s="503"/>
      <c r="C20" s="510"/>
      <c r="D20" s="496"/>
      <c r="E20" s="496"/>
      <c r="F20" s="496"/>
      <c r="G20" s="504"/>
      <c r="H20" s="464"/>
      <c r="I20" s="504"/>
      <c r="J20" s="506"/>
      <c r="K20" s="504"/>
      <c r="L20" s="464"/>
      <c r="M20" s="516"/>
      <c r="N20" s="490"/>
    </row>
    <row r="21" spans="1:14" x14ac:dyDescent="0.25">
      <c r="A21" s="30">
        <v>1</v>
      </c>
      <c r="B21" s="31" t="s">
        <v>39</v>
      </c>
      <c r="C21" s="62">
        <f>[1]STA_SP2_NO!$D$34</f>
        <v>2643.41</v>
      </c>
      <c r="D21" s="118">
        <f>[2]STA_SP2_NO!$D$34</f>
        <v>1109.46</v>
      </c>
      <c r="E21" s="62">
        <f>[3]STA_SP2_NO!$D$34</f>
        <v>105446</v>
      </c>
      <c r="F21" s="118">
        <f>[4]STA_SP2_NO!$D$34</f>
        <v>1567.52</v>
      </c>
      <c r="G21" s="389">
        <f>[5]STA_SP2_NO!$D$34</f>
        <v>1352</v>
      </c>
      <c r="H21" s="54">
        <f>[6]STA_SP2_NO!$D$34</f>
        <v>22114.74</v>
      </c>
      <c r="I21" s="61">
        <f>[7]STA_SP2_NO!$D$34</f>
        <v>3851</v>
      </c>
      <c r="J21" s="54">
        <f>[8]STA_SP2_NO!$D$34</f>
        <v>842</v>
      </c>
      <c r="K21" s="61">
        <f>[9]STA_SP2_NO!$D$34</f>
        <v>12806.7</v>
      </c>
      <c r="L21" s="388">
        <f>[10]STA_SP2_NO!$D$34</f>
        <v>961</v>
      </c>
      <c r="M21" s="391">
        <f>[11]STA_SP2_NO!$D$34</f>
        <v>2263.1999999999998</v>
      </c>
      <c r="N21" s="247">
        <f t="shared" ref="N21:N29" si="3">SUM(C21:M21)</f>
        <v>154957.03000000003</v>
      </c>
    </row>
    <row r="22" spans="1:14" x14ac:dyDescent="0.25">
      <c r="A22" s="32">
        <v>2</v>
      </c>
      <c r="B22" s="33" t="s">
        <v>40</v>
      </c>
      <c r="C22" s="62">
        <f>[1]STA_SP2_NO!$D$35</f>
        <v>162.47</v>
      </c>
      <c r="D22" s="118">
        <f>[2]STA_SP2_NO!$D$35</f>
        <v>14.14</v>
      </c>
      <c r="E22" s="62">
        <f>[3]STA_SP2_NO!$D$35</f>
        <v>3021</v>
      </c>
      <c r="F22" s="118">
        <f>[4]STA_SP2_NO!$D$35</f>
        <v>22.15</v>
      </c>
      <c r="G22" s="389">
        <f>[5]STA_SP2_NO!$D$35</f>
        <v>28</v>
      </c>
      <c r="H22" s="54">
        <f>[6]STA_SP2_NO!$D$35</f>
        <v>0</v>
      </c>
      <c r="I22" s="61">
        <f>[7]STA_SP2_NO!$D$35</f>
        <v>0</v>
      </c>
      <c r="J22" s="54">
        <f>[8]STA_SP2_NO!$D$35</f>
        <v>14</v>
      </c>
      <c r="K22" s="61">
        <f>[9]STA_SP2_NO!$D$35</f>
        <v>236.53</v>
      </c>
      <c r="L22" s="388">
        <f>[10]STA_SP2_NO!$D$35</f>
        <v>44</v>
      </c>
      <c r="M22" s="391">
        <f>[11]STA_SP2_NO!$D$35</f>
        <v>7.38</v>
      </c>
      <c r="N22" s="247">
        <f t="shared" si="3"/>
        <v>3549.6700000000005</v>
      </c>
    </row>
    <row r="23" spans="1:14" x14ac:dyDescent="0.25">
      <c r="A23" s="32">
        <v>3</v>
      </c>
      <c r="B23" s="33" t="s">
        <v>41</v>
      </c>
      <c r="C23" s="62">
        <f>[1]STA_SP2_NO!$D$36</f>
        <v>17.89</v>
      </c>
      <c r="D23" s="118">
        <f>[2]STA_SP2_NO!$D$36</f>
        <v>30.75</v>
      </c>
      <c r="E23" s="62">
        <f>[3]STA_SP2_NO!$D$36</f>
        <v>284</v>
      </c>
      <c r="F23" s="118">
        <f>[4]STA_SP2_NO!$D$36</f>
        <v>0</v>
      </c>
      <c r="G23" s="389">
        <f>[5]STA_SP2_NO!$D$36</f>
        <v>0</v>
      </c>
      <c r="H23" s="54">
        <f>[6]STA_SP2_NO!$D$36</f>
        <v>0</v>
      </c>
      <c r="I23" s="61">
        <f>[7]STA_SP2_NO!$D$36</f>
        <v>0</v>
      </c>
      <c r="J23" s="54">
        <f>[8]STA_SP2_NO!$D$36</f>
        <v>0</v>
      </c>
      <c r="K23" s="61">
        <f>[9]STA_SP2_NO!$D$36</f>
        <v>84.36</v>
      </c>
      <c r="L23" s="388">
        <f>[10]STA_SP2_NO!$D$36</f>
        <v>0</v>
      </c>
      <c r="M23" s="391">
        <f>[11]STA_SP2_NO!$D$36</f>
        <v>17.829999999999998</v>
      </c>
      <c r="N23" s="247">
        <f t="shared" si="3"/>
        <v>434.83</v>
      </c>
    </row>
    <row r="24" spans="1:14" x14ac:dyDescent="0.25">
      <c r="A24" s="32">
        <v>4</v>
      </c>
      <c r="B24" s="33" t="s">
        <v>42</v>
      </c>
      <c r="C24" s="62">
        <f>[1]STA_SP2_NO!$D$37</f>
        <v>4.92</v>
      </c>
      <c r="D24" s="118">
        <f>[2]STA_SP2_NO!$D$37</f>
        <v>0</v>
      </c>
      <c r="E24" s="62">
        <f>[3]STA_SP2_NO!$D$37</f>
        <v>14</v>
      </c>
      <c r="F24" s="118">
        <f>[4]STA_SP2_NO!$D$37</f>
        <v>1.23</v>
      </c>
      <c r="G24" s="389">
        <f>[5]STA_SP2_NO!$D$37</f>
        <v>0</v>
      </c>
      <c r="H24" s="54">
        <f>[6]STA_SP2_NO!$D$37</f>
        <v>0</v>
      </c>
      <c r="I24" s="61">
        <f>[7]STA_SP2_NO!$D$37</f>
        <v>0</v>
      </c>
      <c r="J24" s="54">
        <f>[8]STA_SP2_NO!$D$37</f>
        <v>0</v>
      </c>
      <c r="K24" s="61">
        <f>[9]STA_SP2_NO!$D$37</f>
        <v>0</v>
      </c>
      <c r="L24" s="388">
        <f>[10]STA_SP2_NO!$D$37</f>
        <v>0</v>
      </c>
      <c r="M24" s="391">
        <f>[11]STA_SP2_NO!$D$37</f>
        <v>0.62</v>
      </c>
      <c r="N24" s="247">
        <f t="shared" si="3"/>
        <v>20.770000000000003</v>
      </c>
    </row>
    <row r="25" spans="1:14" x14ac:dyDescent="0.25">
      <c r="A25" s="32">
        <v>5</v>
      </c>
      <c r="B25" s="33" t="s">
        <v>43</v>
      </c>
      <c r="C25" s="62">
        <f>[1]STA_SP2_NO!$D$38</f>
        <v>0</v>
      </c>
      <c r="D25" s="118">
        <f>[2]STA_SP2_NO!$D$38</f>
        <v>0</v>
      </c>
      <c r="E25" s="62">
        <f>[3]STA_SP2_NO!$D$38</f>
        <v>120</v>
      </c>
      <c r="F25" s="118">
        <f>[4]STA_SP2_NO!$D$38</f>
        <v>0</v>
      </c>
      <c r="G25" s="389">
        <f>[5]STA_SP2_NO!$D$38</f>
        <v>0</v>
      </c>
      <c r="H25" s="54">
        <f>[6]STA_SP2_NO!$D$38</f>
        <v>0</v>
      </c>
      <c r="I25" s="61">
        <f>[7]STA_SP2_NO!$D$38</f>
        <v>0</v>
      </c>
      <c r="J25" s="54">
        <f>[8]STA_SP2_NO!$D$38</f>
        <v>0</v>
      </c>
      <c r="K25" s="61">
        <f>[9]STA_SP2_NO!$D$38</f>
        <v>46.82</v>
      </c>
      <c r="L25" s="388">
        <f>[10]STA_SP2_NO!$D$38</f>
        <v>0</v>
      </c>
      <c r="M25" s="391">
        <f>[11]STA_SP2_NO!$D$38</f>
        <v>2.46</v>
      </c>
      <c r="N25" s="247">
        <f t="shared" si="3"/>
        <v>169.28</v>
      </c>
    </row>
    <row r="26" spans="1:14" x14ac:dyDescent="0.25">
      <c r="A26" s="32">
        <v>6</v>
      </c>
      <c r="B26" s="33" t="s">
        <v>44</v>
      </c>
      <c r="C26" s="62">
        <f>[1]STA_SP2_NO!$D$39</f>
        <v>77.67</v>
      </c>
      <c r="D26" s="118">
        <f>[2]STA_SP2_NO!$D$39</f>
        <v>0</v>
      </c>
      <c r="E26" s="62">
        <f>[3]STA_SP2_NO!$D$39</f>
        <v>124</v>
      </c>
      <c r="F26" s="118">
        <f>[4]STA_SP2_NO!$D$39</f>
        <v>17.260000000000002</v>
      </c>
      <c r="G26" s="389">
        <f>[5]STA_SP2_NO!$D$39</f>
        <v>76</v>
      </c>
      <c r="H26" s="54">
        <f>[6]STA_SP2_NO!$D$39</f>
        <v>0</v>
      </c>
      <c r="I26" s="61">
        <f>[7]STA_SP2_NO!$D$39</f>
        <v>0</v>
      </c>
      <c r="J26" s="54">
        <f>[8]STA_SP2_NO!$D$39</f>
        <v>38</v>
      </c>
      <c r="K26" s="61">
        <f>[9]STA_SP2_NO!$D$39</f>
        <v>1280.17</v>
      </c>
      <c r="L26" s="388">
        <f>[10]STA_SP2_NO!$D$39</f>
        <v>50</v>
      </c>
      <c r="M26" s="391">
        <f>[11]STA_SP2_NO!$D$39</f>
        <v>310.57</v>
      </c>
      <c r="N26" s="247">
        <f t="shared" si="3"/>
        <v>1973.67</v>
      </c>
    </row>
    <row r="27" spans="1:14" x14ac:dyDescent="0.25">
      <c r="A27" s="32">
        <v>7</v>
      </c>
      <c r="B27" s="33" t="s">
        <v>45</v>
      </c>
      <c r="C27" s="62">
        <f>[1]STA_SP2_NO!$D$40</f>
        <v>20.63</v>
      </c>
      <c r="D27" s="118">
        <f>[2]STA_SP2_NO!$D$40</f>
        <v>0</v>
      </c>
      <c r="E27" s="62">
        <f>[3]STA_SP2_NO!$D$40</f>
        <v>46</v>
      </c>
      <c r="F27" s="118">
        <f>[4]STA_SP2_NO!$D$40</f>
        <v>6.78</v>
      </c>
      <c r="G27" s="389">
        <f>[5]STA_SP2_NO!$D$40</f>
        <v>5</v>
      </c>
      <c r="H27" s="54">
        <f>[6]STA_SP2_NO!$D$40</f>
        <v>0</v>
      </c>
      <c r="I27" s="61">
        <f>[7]STA_SP2_NO!$D$40</f>
        <v>0</v>
      </c>
      <c r="J27" s="54">
        <f>[8]STA_SP2_NO!$D$40</f>
        <v>6</v>
      </c>
      <c r="K27" s="61">
        <f>[9]STA_SP2_NO!$D$40</f>
        <v>473.54</v>
      </c>
      <c r="L27" s="388">
        <f>[10]STA_SP2_NO!$D$40</f>
        <v>9</v>
      </c>
      <c r="M27" s="391">
        <f>[11]STA_SP2_NO!$D$40</f>
        <v>12.92</v>
      </c>
      <c r="N27" s="247">
        <f t="shared" si="3"/>
        <v>579.87</v>
      </c>
    </row>
    <row r="28" spans="1:14" ht="15.75" thickBot="1" x14ac:dyDescent="0.3">
      <c r="A28" s="34">
        <v>8</v>
      </c>
      <c r="B28" s="35" t="s">
        <v>46</v>
      </c>
      <c r="C28" s="62">
        <f>[1]STA_SP2_NO!$D$41</f>
        <v>0</v>
      </c>
      <c r="D28" s="118">
        <f>[2]STA_SP2_NO!$D$41</f>
        <v>0</v>
      </c>
      <c r="E28" s="62">
        <f>[3]STA_SP2_NO!$D$41</f>
        <v>28</v>
      </c>
      <c r="F28" s="118">
        <f>[4]STA_SP2_NO!$D$41</f>
        <v>0</v>
      </c>
      <c r="G28" s="389">
        <f>[5]STA_SP2_NO!$D$41</f>
        <v>0</v>
      </c>
      <c r="H28" s="54">
        <f>[6]STA_SP2_NO!$D$41</f>
        <v>0</v>
      </c>
      <c r="I28" s="61">
        <f>[7]STA_SP2_NO!$D$41</f>
        <v>0</v>
      </c>
      <c r="J28" s="54">
        <f>[8]STA_SP2_NO!$D$41</f>
        <v>0</v>
      </c>
      <c r="K28" s="61">
        <f>[9]STA_SP2_NO!$D$41</f>
        <v>0</v>
      </c>
      <c r="L28" s="388">
        <f>[10]STA_SP2_NO!$D$41</f>
        <v>0</v>
      </c>
      <c r="M28" s="391">
        <f>[11]STA_SP2_NO!$D$41</f>
        <v>0</v>
      </c>
      <c r="N28" s="247">
        <f t="shared" si="3"/>
        <v>28</v>
      </c>
    </row>
    <row r="29" spans="1:14" ht="15.75" thickBot="1" x14ac:dyDescent="0.3">
      <c r="A29" s="36"/>
      <c r="B29" s="37" t="s">
        <v>37</v>
      </c>
      <c r="C29" s="41">
        <f t="shared" ref="C29:F29" si="4">SUM(C21:C28)</f>
        <v>2926.99</v>
      </c>
      <c r="D29" s="51">
        <f>SUM(D21:D28)</f>
        <v>1154.3500000000001</v>
      </c>
      <c r="E29" s="41">
        <f t="shared" si="4"/>
        <v>109083</v>
      </c>
      <c r="F29" s="39">
        <f t="shared" si="4"/>
        <v>1614.94</v>
      </c>
      <c r="G29" s="390">
        <f t="shared" ref="G29:M29" si="5">SUM(G21:G28)</f>
        <v>1461</v>
      </c>
      <c r="H29" s="39">
        <f t="shared" si="5"/>
        <v>22114.74</v>
      </c>
      <c r="I29" s="41">
        <f t="shared" si="5"/>
        <v>3851</v>
      </c>
      <c r="J29" s="39">
        <f t="shared" si="5"/>
        <v>900</v>
      </c>
      <c r="K29" s="41">
        <f t="shared" si="5"/>
        <v>14928.120000000003</v>
      </c>
      <c r="L29" s="378">
        <f t="shared" si="5"/>
        <v>1064</v>
      </c>
      <c r="M29" s="331">
        <f t="shared" si="5"/>
        <v>2614.98</v>
      </c>
      <c r="N29" s="248">
        <f t="shared" si="3"/>
        <v>161713.12</v>
      </c>
    </row>
    <row r="30" spans="1:14" ht="15.75" thickBot="1" x14ac:dyDescent="0.3">
      <c r="A30" s="1"/>
      <c r="B30" s="1"/>
      <c r="C30" s="1"/>
      <c r="D30" s="1"/>
      <c r="E30" s="1"/>
      <c r="F30" s="1"/>
      <c r="G30" s="339"/>
      <c r="H30" s="1"/>
      <c r="I30" s="339"/>
      <c r="J30" s="1"/>
      <c r="K30" s="339"/>
      <c r="L30" s="1"/>
      <c r="M30" s="346"/>
      <c r="N30" s="1"/>
    </row>
    <row r="31" spans="1:14" ht="15.75" thickBot="1" x14ac:dyDescent="0.3">
      <c r="A31" s="446" t="s">
        <v>53</v>
      </c>
      <c r="B31" s="518"/>
      <c r="C31" s="55">
        <f>C29/N29</f>
        <v>1.8099891956818347E-2</v>
      </c>
      <c r="D31" s="56">
        <f>D29/N29</f>
        <v>7.1382581697762076E-3</v>
      </c>
      <c r="E31" s="48">
        <f>E29/N29</f>
        <v>0.67454638188911331</v>
      </c>
      <c r="F31" s="47">
        <f>F29/N29</f>
        <v>9.9864500790041045E-3</v>
      </c>
      <c r="G31" s="70">
        <f>G29/N29</f>
        <v>9.0345174219630415E-3</v>
      </c>
      <c r="H31" s="47">
        <f>H29/N29</f>
        <v>0.13675291157575836</v>
      </c>
      <c r="I31" s="70">
        <f>I29/N29</f>
        <v>2.3813775901423459E-2</v>
      </c>
      <c r="J31" s="47">
        <f>J29/N29</f>
        <v>5.5654111428930448E-3</v>
      </c>
      <c r="K31" s="70">
        <f>K29/N29</f>
        <v>9.2312361544938368E-2</v>
      </c>
      <c r="L31" s="387">
        <f>L29/N29</f>
        <v>6.5795527289313326E-3</v>
      </c>
      <c r="M31" s="340">
        <f>M29/N29</f>
        <v>1.6170487589380503E-2</v>
      </c>
      <c r="N31" s="256">
        <f>SUM(C31:M31)</f>
        <v>1</v>
      </c>
    </row>
  </sheetData>
  <mergeCells count="33">
    <mergeCell ref="A31:B31"/>
    <mergeCell ref="F19:F20"/>
    <mergeCell ref="A15:B15"/>
    <mergeCell ref="C17:K17"/>
    <mergeCell ref="A18:A20"/>
    <mergeCell ref="B18:B20"/>
    <mergeCell ref="C19:C20"/>
    <mergeCell ref="D19:D20"/>
    <mergeCell ref="E19:E20"/>
    <mergeCell ref="K19:K20"/>
    <mergeCell ref="C1:K1"/>
    <mergeCell ref="A2:A4"/>
    <mergeCell ref="B2:B4"/>
    <mergeCell ref="H3:H4"/>
    <mergeCell ref="I3:I4"/>
    <mergeCell ref="J3:J4"/>
    <mergeCell ref="K3:K4"/>
    <mergeCell ref="N18:N20"/>
    <mergeCell ref="L19:L20"/>
    <mergeCell ref="C2:M2"/>
    <mergeCell ref="M3:M4"/>
    <mergeCell ref="M19:M20"/>
    <mergeCell ref="G19:G20"/>
    <mergeCell ref="H19:H20"/>
    <mergeCell ref="I19:I20"/>
    <mergeCell ref="J19:J20"/>
    <mergeCell ref="N2:N4"/>
    <mergeCell ref="C3:C4"/>
    <mergeCell ref="D3:D4"/>
    <mergeCell ref="E3:E4"/>
    <mergeCell ref="F3:F4"/>
    <mergeCell ref="G3:G4"/>
    <mergeCell ref="L3:L4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J27" sqref="J27"/>
    </sheetView>
  </sheetViews>
  <sheetFormatPr defaultRowHeight="15" x14ac:dyDescent="0.25"/>
  <cols>
    <col min="1" max="1" width="4.5703125" customWidth="1"/>
    <col min="2" max="2" width="26.7109375" customWidth="1"/>
  </cols>
  <sheetData>
    <row r="1" spans="1:14" ht="24.75" customHeight="1" thickBot="1" x14ac:dyDescent="0.3">
      <c r="A1" s="120"/>
      <c r="B1" s="120"/>
      <c r="C1" s="458" t="s">
        <v>108</v>
      </c>
      <c r="D1" s="459"/>
      <c r="E1" s="459"/>
      <c r="F1" s="459"/>
      <c r="G1" s="459"/>
      <c r="H1" s="459"/>
      <c r="I1" s="459"/>
      <c r="J1" s="533"/>
      <c r="K1" s="533"/>
      <c r="L1" s="120"/>
      <c r="M1" s="120"/>
      <c r="N1" s="121"/>
    </row>
    <row r="2" spans="1:14" ht="15.75" thickBot="1" x14ac:dyDescent="0.3">
      <c r="A2" s="461" t="s">
        <v>0</v>
      </c>
      <c r="B2" s="523" t="s">
        <v>1</v>
      </c>
      <c r="C2" s="375" t="s">
        <v>2</v>
      </c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526" t="s">
        <v>3</v>
      </c>
    </row>
    <row r="3" spans="1:14" ht="15" customHeight="1" x14ac:dyDescent="0.25">
      <c r="A3" s="501"/>
      <c r="B3" s="502"/>
      <c r="C3" s="529" t="s">
        <v>69</v>
      </c>
      <c r="D3" s="530" t="s">
        <v>4</v>
      </c>
      <c r="E3" s="512" t="s">
        <v>5</v>
      </c>
      <c r="F3" s="463" t="s">
        <v>6</v>
      </c>
      <c r="G3" s="497" t="s">
        <v>8</v>
      </c>
      <c r="H3" s="463" t="s">
        <v>94</v>
      </c>
      <c r="I3" s="495" t="s">
        <v>9</v>
      </c>
      <c r="J3" s="519" t="s">
        <v>38</v>
      </c>
      <c r="K3" s="495" t="s">
        <v>93</v>
      </c>
      <c r="L3" s="463" t="s">
        <v>11</v>
      </c>
      <c r="M3" s="524" t="s">
        <v>96</v>
      </c>
      <c r="N3" s="527"/>
    </row>
    <row r="4" spans="1:14" ht="15.75" thickBot="1" x14ac:dyDescent="0.3">
      <c r="A4" s="496"/>
      <c r="B4" s="503"/>
      <c r="C4" s="492"/>
      <c r="D4" s="494"/>
      <c r="E4" s="496"/>
      <c r="F4" s="496"/>
      <c r="G4" s="498"/>
      <c r="H4" s="464"/>
      <c r="I4" s="504"/>
      <c r="J4" s="521"/>
      <c r="K4" s="504"/>
      <c r="L4" s="464"/>
      <c r="M4" s="525"/>
      <c r="N4" s="528"/>
    </row>
    <row r="5" spans="1:14" ht="15.75" thickBot="1" x14ac:dyDescent="0.3">
      <c r="A5" s="30">
        <v>1</v>
      </c>
      <c r="B5" s="31" t="s">
        <v>39</v>
      </c>
      <c r="C5" s="117">
        <f>[1]STA_SP2_NO!$J$11</f>
        <v>3094</v>
      </c>
      <c r="D5" s="68">
        <f>[2]STA_SP2_NO!$J$11</f>
        <v>1416</v>
      </c>
      <c r="E5" s="117">
        <f>[3]STA_SP2_NO!$J$11</f>
        <v>1167</v>
      </c>
      <c r="F5" s="118">
        <f>[4]STA_SP2_NO!$J$11</f>
        <v>1453</v>
      </c>
      <c r="G5" s="383">
        <f>[5]STA_SP2_NO!$J$11</f>
        <v>1413</v>
      </c>
      <c r="H5" s="126">
        <f>[6]STA_SP2_NO!$J$11</f>
        <v>2610</v>
      </c>
      <c r="I5" s="143">
        <f>[7]STA_SP2_NO!$J$11</f>
        <v>3418</v>
      </c>
      <c r="J5" s="126">
        <f>[8]STA_SP2_NO!$J$11</f>
        <v>1631</v>
      </c>
      <c r="K5" s="143">
        <f>[9]STA_SP2_NO!$J$11</f>
        <v>1194</v>
      </c>
      <c r="L5" s="377">
        <f>[10]STA_SP2_NO!$J$11</f>
        <v>1972</v>
      </c>
      <c r="M5" s="392">
        <f>[11]STA_SP2_NO!$J$11</f>
        <v>149</v>
      </c>
      <c r="N5" s="395">
        <f t="shared" ref="N5:N18" si="0">SUM(C5:M5)</f>
        <v>19517</v>
      </c>
    </row>
    <row r="6" spans="1:14" ht="15.75" thickBot="1" x14ac:dyDescent="0.3">
      <c r="A6" s="32">
        <v>2</v>
      </c>
      <c r="B6" s="33" t="s">
        <v>40</v>
      </c>
      <c r="C6" s="117">
        <f>[1]STA_SP2_NO!$J$12</f>
        <v>372</v>
      </c>
      <c r="D6" s="68">
        <f>[2]STA_SP2_NO!$J$12</f>
        <v>225</v>
      </c>
      <c r="E6" s="117">
        <f>[3]STA_SP2_NO!$J$12</f>
        <v>145</v>
      </c>
      <c r="F6" s="118">
        <f>[4]STA_SP2_NO!$J$12</f>
        <v>254</v>
      </c>
      <c r="G6" s="383">
        <f>[5]STA_SP2_NO!$J$12</f>
        <v>183</v>
      </c>
      <c r="H6" s="126">
        <f>[6]STA_SP2_NO!$J$12</f>
        <v>188</v>
      </c>
      <c r="I6" s="143">
        <f>[7]STA_SP2_NO!$J$12</f>
        <v>393</v>
      </c>
      <c r="J6" s="126">
        <f>[8]STA_SP2_NO!$J$12</f>
        <v>172</v>
      </c>
      <c r="K6" s="143">
        <f>[9]STA_SP2_NO!$J$12</f>
        <v>121</v>
      </c>
      <c r="L6" s="377">
        <f>[10]STA_SP2_NO!$J$12</f>
        <v>200</v>
      </c>
      <c r="M6" s="392">
        <f>[11]STA_SP2_NO!$J$12</f>
        <v>28</v>
      </c>
      <c r="N6" s="395">
        <f t="shared" si="0"/>
        <v>2281</v>
      </c>
    </row>
    <row r="7" spans="1:14" ht="15.75" thickBot="1" x14ac:dyDescent="0.3">
      <c r="A7" s="32">
        <v>3</v>
      </c>
      <c r="B7" s="33" t="s">
        <v>41</v>
      </c>
      <c r="C7" s="117">
        <f>[1]STA_SP2_NO!$J$13</f>
        <v>39</v>
      </c>
      <c r="D7" s="68">
        <f>[2]STA_SP2_NO!$J$13</f>
        <v>13</v>
      </c>
      <c r="E7" s="117">
        <f>[3]STA_SP2_NO!$J$13</f>
        <v>6</v>
      </c>
      <c r="F7" s="118">
        <f>[4]STA_SP2_NO!$J$13</f>
        <v>28</v>
      </c>
      <c r="G7" s="383">
        <f>[5]STA_SP2_NO!$J$13</f>
        <v>7</v>
      </c>
      <c r="H7" s="126">
        <f>[6]STA_SP2_NO!$J$13</f>
        <v>28</v>
      </c>
      <c r="I7" s="143">
        <f>[7]STA_SP2_NO!$J$13</f>
        <v>81</v>
      </c>
      <c r="J7" s="126">
        <f>[8]STA_SP2_NO!$J$13</f>
        <v>21</v>
      </c>
      <c r="K7" s="143">
        <f>[9]STA_SP2_NO!$J$13</f>
        <v>8</v>
      </c>
      <c r="L7" s="377">
        <f>[10]STA_SP2_NO!$J$13</f>
        <v>9</v>
      </c>
      <c r="M7" s="392">
        <f>[11]STA_SP2_NO!$J$13</f>
        <v>1</v>
      </c>
      <c r="N7" s="395">
        <f t="shared" si="0"/>
        <v>241</v>
      </c>
    </row>
    <row r="8" spans="1:14" ht="15.75" thickBot="1" x14ac:dyDescent="0.3">
      <c r="A8" s="32">
        <v>4</v>
      </c>
      <c r="B8" s="33" t="s">
        <v>42</v>
      </c>
      <c r="C8" s="117">
        <f>[1]STA_SP2_NO!$J$14</f>
        <v>12</v>
      </c>
      <c r="D8" s="68">
        <f>[2]STA_SP2_NO!$J$14</f>
        <v>4</v>
      </c>
      <c r="E8" s="117">
        <f>[3]STA_SP2_NO!$J$14</f>
        <v>3</v>
      </c>
      <c r="F8" s="118">
        <f>[4]STA_SP2_NO!$J$14</f>
        <v>8</v>
      </c>
      <c r="G8" s="383">
        <f>[5]STA_SP2_NO!$J$14</f>
        <v>7</v>
      </c>
      <c r="H8" s="126">
        <f>[6]STA_SP2_NO!$J$14</f>
        <v>5</v>
      </c>
      <c r="I8" s="143">
        <f>[7]STA_SP2_NO!$J$14</f>
        <v>7</v>
      </c>
      <c r="J8" s="126">
        <f>[8]STA_SP2_NO!$J$14</f>
        <v>7</v>
      </c>
      <c r="K8" s="143">
        <f>[9]STA_SP2_NO!$J$14</f>
        <v>3</v>
      </c>
      <c r="L8" s="377">
        <f>[10]STA_SP2_NO!$J$14</f>
        <v>7</v>
      </c>
      <c r="M8" s="392">
        <f>[11]STA_SP2_NO!$J$14</f>
        <v>0</v>
      </c>
      <c r="N8" s="395">
        <f t="shared" si="0"/>
        <v>63</v>
      </c>
    </row>
    <row r="9" spans="1:14" ht="15.75" thickBot="1" x14ac:dyDescent="0.3">
      <c r="A9" s="32">
        <v>5</v>
      </c>
      <c r="B9" s="33" t="s">
        <v>43</v>
      </c>
      <c r="C9" s="117">
        <f>[1]STA_SP2_NO!$J$15</f>
        <v>2</v>
      </c>
      <c r="D9" s="68">
        <f>[2]STA_SP2_NO!$J$15</f>
        <v>0</v>
      </c>
      <c r="E9" s="117">
        <f>[3]STA_SP2_NO!$J$15</f>
        <v>1</v>
      </c>
      <c r="F9" s="118">
        <f>[4]STA_SP2_NO!$J$15</f>
        <v>3</v>
      </c>
      <c r="G9" s="383">
        <f>[5]STA_SP2_NO!$J$15</f>
        <v>0</v>
      </c>
      <c r="H9" s="126">
        <f>[6]STA_SP2_NO!$J$15</f>
        <v>6</v>
      </c>
      <c r="I9" s="143">
        <f>[7]STA_SP2_NO!$J$15</f>
        <v>2</v>
      </c>
      <c r="J9" s="126">
        <f>[8]STA_SP2_NO!$J$15</f>
        <v>12</v>
      </c>
      <c r="K9" s="143">
        <f>[9]STA_SP2_NO!$J$15</f>
        <v>2</v>
      </c>
      <c r="L9" s="377">
        <f>[10]STA_SP2_NO!$J$15</f>
        <v>1</v>
      </c>
      <c r="M9" s="392">
        <f>[11]STA_SP2_NO!$J$15</f>
        <v>0</v>
      </c>
      <c r="N9" s="395">
        <f t="shared" si="0"/>
        <v>29</v>
      </c>
    </row>
    <row r="10" spans="1:14" ht="15.75" thickBot="1" x14ac:dyDescent="0.3">
      <c r="A10" s="32">
        <v>6</v>
      </c>
      <c r="B10" s="33" t="s">
        <v>44</v>
      </c>
      <c r="C10" s="117">
        <f>[1]STA_SP2_NO!$J$16</f>
        <v>38</v>
      </c>
      <c r="D10" s="68">
        <f>[2]STA_SP2_NO!$J$16</f>
        <v>29</v>
      </c>
      <c r="E10" s="117">
        <f>[3]STA_SP2_NO!$J$16</f>
        <v>10</v>
      </c>
      <c r="F10" s="118">
        <f>[4]STA_SP2_NO!$J$16</f>
        <v>9</v>
      </c>
      <c r="G10" s="383">
        <f>[5]STA_SP2_NO!$J$16</f>
        <v>6</v>
      </c>
      <c r="H10" s="126">
        <f>[6]STA_SP2_NO!$J$16</f>
        <v>46</v>
      </c>
      <c r="I10" s="143">
        <f>[7]STA_SP2_NO!$J$16</f>
        <v>41</v>
      </c>
      <c r="J10" s="126">
        <f>[8]STA_SP2_NO!$J$16</f>
        <v>24</v>
      </c>
      <c r="K10" s="143">
        <f>[9]STA_SP2_NO!$J$16</f>
        <v>15</v>
      </c>
      <c r="L10" s="377">
        <f>[10]STA_SP2_NO!$J$16</f>
        <v>45</v>
      </c>
      <c r="M10" s="392">
        <f>[11]STA_SP2_NO!$J$16</f>
        <v>1</v>
      </c>
      <c r="N10" s="395">
        <f t="shared" si="0"/>
        <v>264</v>
      </c>
    </row>
    <row r="11" spans="1:14" ht="15.75" thickBot="1" x14ac:dyDescent="0.3">
      <c r="A11" s="32">
        <v>7</v>
      </c>
      <c r="B11" s="33" t="s">
        <v>45</v>
      </c>
      <c r="C11" s="117">
        <f>[1]STA_SP2_NO!$J$17</f>
        <v>0</v>
      </c>
      <c r="D11" s="68">
        <f>[2]STA_SP2_NO!$J$17</f>
        <v>2</v>
      </c>
      <c r="E11" s="117">
        <f>[3]STA_SP2_NO!$J$17</f>
        <v>0</v>
      </c>
      <c r="F11" s="118">
        <f>[4]STA_SP2_NO!$J$17</f>
        <v>0</v>
      </c>
      <c r="G11" s="383">
        <f>[5]STA_SP2_NO!$J$17</f>
        <v>0</v>
      </c>
      <c r="H11" s="126">
        <f>[6]STA_SP2_NO!$J$17</f>
        <v>4</v>
      </c>
      <c r="I11" s="143">
        <f>[7]STA_SP2_NO!$J$17</f>
        <v>3</v>
      </c>
      <c r="J11" s="126">
        <f>[8]STA_SP2_NO!$J$17</f>
        <v>3</v>
      </c>
      <c r="K11" s="143">
        <f>[9]STA_SP2_NO!$J$17</f>
        <v>3</v>
      </c>
      <c r="L11" s="377">
        <f>[10]STA_SP2_NO!$J$17</f>
        <v>2</v>
      </c>
      <c r="M11" s="392">
        <f>[11]STA_SP2_NO!$J$17</f>
        <v>0</v>
      </c>
      <c r="N11" s="395">
        <f t="shared" si="0"/>
        <v>17</v>
      </c>
    </row>
    <row r="12" spans="1:14" ht="15.75" thickBot="1" x14ac:dyDescent="0.3">
      <c r="A12" s="32">
        <v>8</v>
      </c>
      <c r="B12" s="33" t="s">
        <v>46</v>
      </c>
      <c r="C12" s="117">
        <f>[1]STA_SP2_NO!$J$18</f>
        <v>19</v>
      </c>
      <c r="D12" s="68">
        <f>[2]STA_SP2_NO!$J$18</f>
        <v>3</v>
      </c>
      <c r="E12" s="117">
        <f>[3]STA_SP2_NO!$J$18</f>
        <v>34</v>
      </c>
      <c r="F12" s="118">
        <f>[4]STA_SP2_NO!$J$18</f>
        <v>10</v>
      </c>
      <c r="G12" s="383">
        <f>[5]STA_SP2_NO!$J$18</f>
        <v>4</v>
      </c>
      <c r="H12" s="126">
        <f>[6]STA_SP2_NO!$J$18</f>
        <v>0</v>
      </c>
      <c r="I12" s="143">
        <f>[7]STA_SP2_NO!$J$18</f>
        <v>15</v>
      </c>
      <c r="J12" s="126">
        <f>[8]STA_SP2_NO!$J$18</f>
        <v>28</v>
      </c>
      <c r="K12" s="143">
        <f>[9]STA_SP2_NO!$J$18</f>
        <v>0</v>
      </c>
      <c r="L12" s="377">
        <f>[10]STA_SP2_NO!$J$18</f>
        <v>8</v>
      </c>
      <c r="M12" s="392">
        <f>[11]STA_SP2_NO!$J$18</f>
        <v>1</v>
      </c>
      <c r="N12" s="395">
        <f t="shared" si="0"/>
        <v>122</v>
      </c>
    </row>
    <row r="13" spans="1:14" ht="23.25" thickBot="1" x14ac:dyDescent="0.3">
      <c r="A13" s="32">
        <v>9</v>
      </c>
      <c r="B13" s="53" t="s">
        <v>47</v>
      </c>
      <c r="C13" s="117">
        <f>[1]STA_SP2_NO!$J$19</f>
        <v>0</v>
      </c>
      <c r="D13" s="68">
        <f>[2]STA_SP2_NO!$J$19</f>
        <v>0</v>
      </c>
      <c r="E13" s="117">
        <f>[3]STA_SP2_NO!$J$19</f>
        <v>0</v>
      </c>
      <c r="F13" s="118">
        <f>[4]STA_SP2_NO!$J$19</f>
        <v>0</v>
      </c>
      <c r="G13" s="383">
        <f>[5]STA_SP2_NO!$J$19</f>
        <v>0</v>
      </c>
      <c r="H13" s="126">
        <f>[6]STA_SP2_NO!$J$19</f>
        <v>0</v>
      </c>
      <c r="I13" s="143">
        <f>[7]STA_SP2_NO!$J$19</f>
        <v>0</v>
      </c>
      <c r="J13" s="126">
        <f>[8]STA_SP2_NO!$J$19</f>
        <v>0</v>
      </c>
      <c r="K13" s="143">
        <f>[9]STA_SP2_NO!$J$19</f>
        <v>0</v>
      </c>
      <c r="L13" s="377">
        <f>[10]STA_SP2_NO!$J$19</f>
        <v>0</v>
      </c>
      <c r="M13" s="392">
        <f>[11]STA_SP2_NO!$J$19</f>
        <v>0</v>
      </c>
      <c r="N13" s="395">
        <f t="shared" si="0"/>
        <v>0</v>
      </c>
    </row>
    <row r="14" spans="1:14" ht="27" customHeight="1" thickBot="1" x14ac:dyDescent="0.3">
      <c r="A14" s="32">
        <v>10</v>
      </c>
      <c r="B14" s="53" t="s">
        <v>48</v>
      </c>
      <c r="C14" s="117">
        <f>[1]STA_SP2_NO!$J$20</f>
        <v>0</v>
      </c>
      <c r="D14" s="68">
        <f>[2]STA_SP2_NO!$J$20</f>
        <v>0</v>
      </c>
      <c r="E14" s="117">
        <f>[3]STA_SP2_NO!$J$20</f>
        <v>0</v>
      </c>
      <c r="F14" s="118">
        <f>[4]STA_SP2_NO!$J$20</f>
        <v>0</v>
      </c>
      <c r="G14" s="383">
        <f>[5]STA_SP2_NO!$J$20</f>
        <v>0</v>
      </c>
      <c r="H14" s="126">
        <f>[6]STA_SP2_NO!$J$20</f>
        <v>0</v>
      </c>
      <c r="I14" s="143">
        <f>[7]STA_SP2_NO!$J$20</f>
        <v>0</v>
      </c>
      <c r="J14" s="126">
        <f>[8]STA_SP2_NO!$J$20</f>
        <v>0</v>
      </c>
      <c r="K14" s="143">
        <f>[9]STA_SP2_NO!$J$20</f>
        <v>0</v>
      </c>
      <c r="L14" s="377">
        <f>[10]STA_SP2_NO!$J$20</f>
        <v>0</v>
      </c>
      <c r="M14" s="392">
        <f>[11]STA_SP2_NO!$J$20</f>
        <v>0</v>
      </c>
      <c r="N14" s="395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117">
        <f>[1]STA_SP2_NO!$J$21</f>
        <v>0</v>
      </c>
      <c r="D15" s="68">
        <f>[2]STA_SP2_NO!$J$21</f>
        <v>0</v>
      </c>
      <c r="E15" s="117">
        <f>[3]STA_SP2_NO!$J$21</f>
        <v>0</v>
      </c>
      <c r="F15" s="118">
        <f>[4]STA_SP2_NO!$J$21</f>
        <v>0</v>
      </c>
      <c r="G15" s="383">
        <f>[5]STA_SP2_NO!$J$21</f>
        <v>2</v>
      </c>
      <c r="H15" s="126">
        <f>[6]STA_SP2_NO!$J$21</f>
        <v>0</v>
      </c>
      <c r="I15" s="143">
        <f>[7]STA_SP2_NO!$J$21</f>
        <v>0</v>
      </c>
      <c r="J15" s="126">
        <f>[8]STA_SP2_NO!$J$21</f>
        <v>0</v>
      </c>
      <c r="K15" s="143">
        <f>[9]STA_SP2_NO!$J$21</f>
        <v>0</v>
      </c>
      <c r="L15" s="377">
        <f>[10]STA_SP2_NO!$J$21</f>
        <v>0</v>
      </c>
      <c r="M15" s="392">
        <f>[11]STA_SP2_NO!$J$21</f>
        <v>0</v>
      </c>
      <c r="N15" s="395">
        <f t="shared" si="0"/>
        <v>2</v>
      </c>
    </row>
    <row r="16" spans="1:14" ht="57" thickBot="1" x14ac:dyDescent="0.3">
      <c r="A16" s="32">
        <v>12</v>
      </c>
      <c r="B16" s="53" t="s">
        <v>50</v>
      </c>
      <c r="C16" s="117">
        <f>[1]STA_SP2_NO!$J$22</f>
        <v>0</v>
      </c>
      <c r="D16" s="68">
        <f>[2]STA_SP2_NO!$J$22</f>
        <v>0</v>
      </c>
      <c r="E16" s="117">
        <f>[3]STA_SP2_NO!$J$22</f>
        <v>0</v>
      </c>
      <c r="F16" s="118">
        <f>[4]STA_SP2_NO!$J$22</f>
        <v>0</v>
      </c>
      <c r="G16" s="383">
        <f>[5]STA_SP2_NO!$J$22</f>
        <v>0</v>
      </c>
      <c r="H16" s="126">
        <f>[6]STA_SP2_NO!$J$22</f>
        <v>0</v>
      </c>
      <c r="I16" s="143">
        <f>[7]STA_SP2_NO!$J$22</f>
        <v>0</v>
      </c>
      <c r="J16" s="126">
        <f>[8]STA_SP2_NO!$J$22</f>
        <v>0</v>
      </c>
      <c r="K16" s="143">
        <f>[9]STA_SP2_NO!$J$22</f>
        <v>0</v>
      </c>
      <c r="L16" s="377">
        <f>[10]STA_SP2_NO!$J$22</f>
        <v>0</v>
      </c>
      <c r="M16" s="393">
        <f>[11]STA_SP2_NO!$J$22</f>
        <v>0</v>
      </c>
      <c r="N16" s="395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117">
        <f>[1]STA_SP2_NO!$J$23</f>
        <v>0</v>
      </c>
      <c r="D17" s="68">
        <f>[2]STA_SP2_NO!$J$23</f>
        <v>0</v>
      </c>
      <c r="E17" s="117">
        <f>[3]STA_SP2_NO!$J$23</f>
        <v>0</v>
      </c>
      <c r="F17" s="118">
        <f>[4]STA_SP2_NO!$J$23</f>
        <v>0</v>
      </c>
      <c r="G17" s="383">
        <f>[5]STA_SP2_NO!$J$23</f>
        <v>0</v>
      </c>
      <c r="H17" s="126">
        <f>[6]STA_SP2_NO!$J$23</f>
        <v>0</v>
      </c>
      <c r="I17" s="143">
        <f>[7]STA_SP2_NO!$J$23</f>
        <v>0</v>
      </c>
      <c r="J17" s="126">
        <f>[8]STA_SP2_NO!$J$23</f>
        <v>0</v>
      </c>
      <c r="K17" s="143">
        <f>[9]STA_SP2_NO!$J$23</f>
        <v>0</v>
      </c>
      <c r="L17" s="377">
        <f>[10]STA_SP2_NO!$J$23</f>
        <v>0</v>
      </c>
      <c r="M17" s="393">
        <f>[11]STA_SP2_NO!$J$23</f>
        <v>0</v>
      </c>
      <c r="N17" s="395">
        <f t="shared" si="0"/>
        <v>0</v>
      </c>
    </row>
    <row r="18" spans="1:14" ht="15.75" thickBot="1" x14ac:dyDescent="0.3">
      <c r="A18" s="36"/>
      <c r="B18" s="37" t="s">
        <v>37</v>
      </c>
      <c r="C18" s="41">
        <f t="shared" ref="C18:F18" si="1">SUM(C5:C17)</f>
        <v>3576</v>
      </c>
      <c r="D18" s="42">
        <f t="shared" si="1"/>
        <v>1692</v>
      </c>
      <c r="E18" s="41">
        <f t="shared" si="1"/>
        <v>1366</v>
      </c>
      <c r="F18" s="39">
        <f t="shared" si="1"/>
        <v>1765</v>
      </c>
      <c r="G18" s="40">
        <f t="shared" ref="G18:M18" si="2">SUM(G5:G17)</f>
        <v>1622</v>
      </c>
      <c r="H18" s="39">
        <f t="shared" si="2"/>
        <v>2887</v>
      </c>
      <c r="I18" s="40">
        <f t="shared" si="2"/>
        <v>3960</v>
      </c>
      <c r="J18" s="39">
        <f t="shared" si="2"/>
        <v>1898</v>
      </c>
      <c r="K18" s="40">
        <f t="shared" si="2"/>
        <v>1346</v>
      </c>
      <c r="L18" s="378">
        <f t="shared" si="2"/>
        <v>2244</v>
      </c>
      <c r="M18" s="394">
        <f t="shared" si="2"/>
        <v>180</v>
      </c>
      <c r="N18" s="232">
        <f t="shared" si="0"/>
        <v>22536</v>
      </c>
    </row>
    <row r="19" spans="1:14" ht="15.75" thickBot="1" x14ac:dyDescent="0.3">
      <c r="A19" s="108"/>
      <c r="B19" s="109"/>
      <c r="C19" s="46"/>
      <c r="D19" s="40"/>
      <c r="E19" s="46"/>
      <c r="F19" s="40"/>
      <c r="G19" s="40"/>
      <c r="H19" s="46"/>
      <c r="I19" s="40"/>
      <c r="J19" s="46"/>
      <c r="K19" s="40"/>
      <c r="L19" s="46"/>
      <c r="M19" s="346"/>
      <c r="N19" s="46"/>
    </row>
    <row r="20" spans="1:14" ht="15.75" thickBot="1" x14ac:dyDescent="0.3">
      <c r="A20" s="531" t="s">
        <v>53</v>
      </c>
      <c r="B20" s="532"/>
      <c r="C20" s="55">
        <f>C18/N18</f>
        <v>0.15867944621938232</v>
      </c>
      <c r="D20" s="56">
        <f>D18/N18</f>
        <v>7.5079872204472847E-2</v>
      </c>
      <c r="E20" s="48">
        <f>E18/N18</f>
        <v>6.061412850550231E-2</v>
      </c>
      <c r="F20" s="47">
        <f>F18/N18</f>
        <v>7.831913383031594E-2</v>
      </c>
      <c r="G20" s="70">
        <f>G18/N18</f>
        <v>7.1973730919417819E-2</v>
      </c>
      <c r="H20" s="47">
        <f>H18/N18</f>
        <v>0.12810614128505501</v>
      </c>
      <c r="I20" s="70">
        <f>I18/N18</f>
        <v>0.1757188498402556</v>
      </c>
      <c r="J20" s="47">
        <f>J18/N18</f>
        <v>8.4220802271920484E-2</v>
      </c>
      <c r="K20" s="70">
        <f>K18/N18</f>
        <v>5.9726659566915155E-2</v>
      </c>
      <c r="L20" s="387">
        <f>L18/N18</f>
        <v>9.9574014909478162E-2</v>
      </c>
      <c r="M20" s="340">
        <f>M18/N18</f>
        <v>7.9872204472843447E-3</v>
      </c>
      <c r="N20" s="256">
        <f>SUM(C20:M20)</f>
        <v>1</v>
      </c>
    </row>
  </sheetData>
  <mergeCells count="16">
    <mergeCell ref="A20:B20"/>
    <mergeCell ref="C1:K1"/>
    <mergeCell ref="A2:A4"/>
    <mergeCell ref="B2:B4"/>
    <mergeCell ref="H3:H4"/>
    <mergeCell ref="I3:I4"/>
    <mergeCell ref="J3:J4"/>
    <mergeCell ref="K3:K4"/>
    <mergeCell ref="M3:M4"/>
    <mergeCell ref="N2:N4"/>
    <mergeCell ref="C3:C4"/>
    <mergeCell ref="D3:D4"/>
    <mergeCell ref="E3:E4"/>
    <mergeCell ref="F3:F4"/>
    <mergeCell ref="G3:G4"/>
    <mergeCell ref="L3:L4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C5" sqref="C5"/>
    </sheetView>
  </sheetViews>
  <sheetFormatPr defaultRowHeight="15" x14ac:dyDescent="0.25"/>
  <cols>
    <col min="1" max="1" width="2.85546875" customWidth="1"/>
    <col min="2" max="2" width="26.5703125" customWidth="1"/>
    <col min="6" max="6" width="9.5703125" bestFit="1" customWidth="1"/>
    <col min="11" max="11" width="9.5703125" bestFit="1" customWidth="1"/>
    <col min="14" max="14" width="8.5703125" customWidth="1"/>
  </cols>
  <sheetData>
    <row r="1" spans="1:14" ht="32.25" customHeight="1" thickBot="1" x14ac:dyDescent="0.3">
      <c r="A1" s="120" t="s">
        <v>67</v>
      </c>
      <c r="B1" s="26"/>
      <c r="C1" s="458" t="s">
        <v>111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155" t="s">
        <v>36</v>
      </c>
    </row>
    <row r="2" spans="1:14" ht="15.75" thickBot="1" x14ac:dyDescent="0.3">
      <c r="A2" s="461" t="s">
        <v>0</v>
      </c>
      <c r="B2" s="463" t="s">
        <v>1</v>
      </c>
      <c r="C2" s="483" t="s">
        <v>2</v>
      </c>
      <c r="D2" s="484"/>
      <c r="E2" s="484"/>
      <c r="F2" s="484"/>
      <c r="G2" s="484"/>
      <c r="H2" s="484"/>
      <c r="I2" s="484"/>
      <c r="J2" s="484"/>
      <c r="K2" s="484"/>
      <c r="L2" s="484"/>
      <c r="M2" s="485"/>
      <c r="N2" s="488" t="s">
        <v>3</v>
      </c>
    </row>
    <row r="3" spans="1:14" ht="24" customHeight="1" x14ac:dyDescent="0.25">
      <c r="A3" s="501"/>
      <c r="B3" s="502"/>
      <c r="C3" s="529" t="s">
        <v>69</v>
      </c>
      <c r="D3" s="530" t="s">
        <v>4</v>
      </c>
      <c r="E3" s="512" t="s">
        <v>5</v>
      </c>
      <c r="F3" s="463" t="s">
        <v>6</v>
      </c>
      <c r="G3" s="495" t="s">
        <v>8</v>
      </c>
      <c r="H3" s="463" t="s">
        <v>94</v>
      </c>
      <c r="I3" s="495" t="s">
        <v>9</v>
      </c>
      <c r="J3" s="519" t="s">
        <v>38</v>
      </c>
      <c r="K3" s="495" t="s">
        <v>93</v>
      </c>
      <c r="L3" s="463" t="s">
        <v>11</v>
      </c>
      <c r="M3" s="514" t="s">
        <v>96</v>
      </c>
      <c r="N3" s="489"/>
    </row>
    <row r="4" spans="1:14" ht="15.75" thickBot="1" x14ac:dyDescent="0.3">
      <c r="A4" s="496"/>
      <c r="B4" s="503"/>
      <c r="C4" s="492"/>
      <c r="D4" s="494"/>
      <c r="E4" s="496"/>
      <c r="F4" s="496"/>
      <c r="G4" s="504"/>
      <c r="H4" s="464"/>
      <c r="I4" s="504"/>
      <c r="J4" s="521"/>
      <c r="K4" s="504"/>
      <c r="L4" s="464"/>
      <c r="M4" s="516"/>
      <c r="N4" s="490"/>
    </row>
    <row r="5" spans="1:14" ht="15.75" thickBot="1" x14ac:dyDescent="0.3">
      <c r="A5" s="30">
        <v>1</v>
      </c>
      <c r="B5" s="31" t="s">
        <v>39</v>
      </c>
      <c r="C5" s="117">
        <f>[1]STA_SP2_NO!$K$11</f>
        <v>238060.67</v>
      </c>
      <c r="D5" s="68">
        <f>[2]STA_SP2_NO!$K$11</f>
        <v>93898.25</v>
      </c>
      <c r="E5" s="117">
        <f>[3]STA_SP2_NO!$K$11</f>
        <v>68275</v>
      </c>
      <c r="F5" s="386">
        <f>[4]STA_SP2_NO!$K$11</f>
        <v>102278.78</v>
      </c>
      <c r="G5" s="383">
        <f>[5]STA_SP2_NO!$K$11</f>
        <v>111931</v>
      </c>
      <c r="H5" s="126">
        <f>[6]STA_SP2_NO!$K$11</f>
        <v>130950.44</v>
      </c>
      <c r="I5" s="143">
        <f>[7]STA_SP2_NO!$K$11</f>
        <v>231088</v>
      </c>
      <c r="J5" s="126">
        <f>[8]STA_SP2_NO!$K$11</f>
        <v>93446</v>
      </c>
      <c r="K5" s="143">
        <f>[9]STA_SP2_NO!$K$11</f>
        <v>92273.69</v>
      </c>
      <c r="L5" s="377">
        <f>[10]STA_SP2_NO!$K$11</f>
        <v>129337</v>
      </c>
      <c r="M5" s="384">
        <f>[11]STA_SP2_NO!$K$11</f>
        <v>9881.42</v>
      </c>
      <c r="N5" s="247">
        <f t="shared" ref="N5:N17" si="0">SUM(C5:M5)</f>
        <v>1301420.25</v>
      </c>
    </row>
    <row r="6" spans="1:14" ht="15.75" thickBot="1" x14ac:dyDescent="0.3">
      <c r="A6" s="32">
        <v>2</v>
      </c>
      <c r="B6" s="33" t="s">
        <v>40</v>
      </c>
      <c r="C6" s="117">
        <f>[1]STA_SP2_NO!$K$12</f>
        <v>25322.080000000002</v>
      </c>
      <c r="D6" s="68">
        <f>[2]STA_SP2_NO!$K$12</f>
        <v>12447.45</v>
      </c>
      <c r="E6" s="117">
        <f>[3]STA_SP2_NO!$K$12</f>
        <v>9711</v>
      </c>
      <c r="F6" s="386">
        <f>[4]STA_SP2_NO!$K$12</f>
        <v>17683.310000000001</v>
      </c>
      <c r="G6" s="383">
        <f>[5]STA_SP2_NO!$K$12</f>
        <v>12199</v>
      </c>
      <c r="H6" s="126">
        <f>[6]STA_SP2_NO!$K$12</f>
        <v>8827.11</v>
      </c>
      <c r="I6" s="143">
        <f>[7]STA_SP2_NO!$K$12</f>
        <v>25816</v>
      </c>
      <c r="J6" s="126">
        <f>[8]STA_SP2_NO!$K$12</f>
        <v>13497</v>
      </c>
      <c r="K6" s="143">
        <f>[9]STA_SP2_NO!$K$12</f>
        <v>7776.4</v>
      </c>
      <c r="L6" s="377">
        <f>[10]STA_SP2_NO!$K$12</f>
        <v>10423</v>
      </c>
      <c r="M6" s="384">
        <f>[11]STA_SP2_NO!$K$12</f>
        <v>1735.61</v>
      </c>
      <c r="N6" s="247">
        <f t="shared" si="0"/>
        <v>145437.96</v>
      </c>
    </row>
    <row r="7" spans="1:14" ht="15.75" thickBot="1" x14ac:dyDescent="0.3">
      <c r="A7" s="32">
        <v>3</v>
      </c>
      <c r="B7" s="33" t="s">
        <v>41</v>
      </c>
      <c r="C7" s="117">
        <f>[1]STA_SP2_NO!$K$13</f>
        <v>2213.61</v>
      </c>
      <c r="D7" s="68">
        <f>[2]STA_SP2_NO!$K$13</f>
        <v>953.48</v>
      </c>
      <c r="E7" s="117">
        <f>[3]STA_SP2_NO!$K$13</f>
        <v>244</v>
      </c>
      <c r="F7" s="386">
        <f>[4]STA_SP2_NO!$K$13</f>
        <v>1362.13</v>
      </c>
      <c r="G7" s="383">
        <f>[5]STA_SP2_NO!$K$13</f>
        <v>216</v>
      </c>
      <c r="H7" s="126">
        <f>[6]STA_SP2_NO!$K$13</f>
        <v>2623.15</v>
      </c>
      <c r="I7" s="143">
        <f>[7]STA_SP2_NO!$K$13</f>
        <v>12156</v>
      </c>
      <c r="J7" s="126">
        <f>[8]STA_SP2_NO!$K$13</f>
        <v>1130</v>
      </c>
      <c r="K7" s="143">
        <f>[9]STA_SP2_NO!$K$13</f>
        <v>394.66</v>
      </c>
      <c r="L7" s="377">
        <f>[10]STA_SP2_NO!$K$13</f>
        <v>574</v>
      </c>
      <c r="M7" s="384">
        <f>[11]STA_SP2_NO!$K$13</f>
        <v>55.08</v>
      </c>
      <c r="N7" s="247">
        <f t="shared" si="0"/>
        <v>21922.110000000004</v>
      </c>
    </row>
    <row r="8" spans="1:14" ht="15.75" thickBot="1" x14ac:dyDescent="0.3">
      <c r="A8" s="32">
        <v>4</v>
      </c>
      <c r="B8" s="33" t="s">
        <v>42</v>
      </c>
      <c r="C8" s="117">
        <f>[1]STA_SP2_NO!$K$14</f>
        <v>378.7</v>
      </c>
      <c r="D8" s="68">
        <f>[2]STA_SP2_NO!$K$14</f>
        <v>222.66</v>
      </c>
      <c r="E8" s="117">
        <f>[3]STA_SP2_NO!$K$14</f>
        <v>110</v>
      </c>
      <c r="F8" s="386">
        <f>[4]STA_SP2_NO!$K$14</f>
        <v>346.68</v>
      </c>
      <c r="G8" s="383">
        <f>[5]STA_SP2_NO!$K$14</f>
        <v>295</v>
      </c>
      <c r="H8" s="126">
        <f>[6]STA_SP2_NO!$K$14</f>
        <v>298.27999999999997</v>
      </c>
      <c r="I8" s="143">
        <f>[7]STA_SP2_NO!$K$14</f>
        <v>1849</v>
      </c>
      <c r="J8" s="126">
        <f>[8]STA_SP2_NO!$K$14</f>
        <v>197</v>
      </c>
      <c r="K8" s="143">
        <f>[9]STA_SP2_NO!$K$14</f>
        <v>99.25</v>
      </c>
      <c r="L8" s="377">
        <f>[10]STA_SP2_NO!$K$14</f>
        <v>343</v>
      </c>
      <c r="M8" s="384">
        <f>[11]STA_SP2_NO!$K$14</f>
        <v>0</v>
      </c>
      <c r="N8" s="247">
        <f t="shared" si="0"/>
        <v>4139.57</v>
      </c>
    </row>
    <row r="9" spans="1:14" ht="15.75" thickBot="1" x14ac:dyDescent="0.3">
      <c r="A9" s="32">
        <v>5</v>
      </c>
      <c r="B9" s="33" t="s">
        <v>43</v>
      </c>
      <c r="C9" s="117">
        <f>[1]STA_SP2_NO!$K$15</f>
        <v>71.33</v>
      </c>
      <c r="D9" s="68">
        <f>[2]STA_SP2_NO!$K$15</f>
        <v>0</v>
      </c>
      <c r="E9" s="117">
        <f>[3]STA_SP2_NO!$K$15</f>
        <v>53</v>
      </c>
      <c r="F9" s="386">
        <f>[4]STA_SP2_NO!$K$15</f>
        <v>658.48</v>
      </c>
      <c r="G9" s="383">
        <f>[5]STA_SP2_NO!$K$15</f>
        <v>0</v>
      </c>
      <c r="H9" s="126">
        <f>[6]STA_SP2_NO!$K$15</f>
        <v>566.59</v>
      </c>
      <c r="I9" s="143">
        <f>[7]STA_SP2_NO!$K$15</f>
        <v>163</v>
      </c>
      <c r="J9" s="126">
        <f>[8]STA_SP2_NO!$K$15</f>
        <v>756</v>
      </c>
      <c r="K9" s="143">
        <f>[9]STA_SP2_NO!$K$15</f>
        <v>97.13</v>
      </c>
      <c r="L9" s="377">
        <f>[10]STA_SP2_NO!$K$15</f>
        <v>18</v>
      </c>
      <c r="M9" s="384">
        <f>[11]STA_SP2_NO!$K$15</f>
        <v>0</v>
      </c>
      <c r="N9" s="247">
        <f t="shared" si="0"/>
        <v>2383.5300000000002</v>
      </c>
    </row>
    <row r="10" spans="1:14" ht="15.75" thickBot="1" x14ac:dyDescent="0.3">
      <c r="A10" s="32">
        <v>6</v>
      </c>
      <c r="B10" s="33" t="s">
        <v>44</v>
      </c>
      <c r="C10" s="117">
        <f>[1]STA_SP2_NO!$K$16</f>
        <v>2530.6999999999998</v>
      </c>
      <c r="D10" s="68">
        <f>[2]STA_SP2_NO!$K$16</f>
        <v>873.77</v>
      </c>
      <c r="E10" s="117">
        <f>[3]STA_SP2_NO!$K$16</f>
        <v>395</v>
      </c>
      <c r="F10" s="386">
        <f>[4]STA_SP2_NO!$K$16</f>
        <v>264.27999999999997</v>
      </c>
      <c r="G10" s="383">
        <f>[5]STA_SP2_NO!$K$16</f>
        <v>193</v>
      </c>
      <c r="H10" s="126">
        <f>[6]STA_SP2_NO!$K$16</f>
        <v>3854.5</v>
      </c>
      <c r="I10" s="143">
        <f>[7]STA_SP2_NO!$K$16</f>
        <v>2365</v>
      </c>
      <c r="J10" s="126">
        <f>[8]STA_SP2_NO!$K$16</f>
        <v>2129</v>
      </c>
      <c r="K10" s="143">
        <f>[9]STA_SP2_NO!$K$16</f>
        <v>1033.6500000000001</v>
      </c>
      <c r="L10" s="377">
        <f>[10]STA_SP2_NO!$K$16</f>
        <v>3301</v>
      </c>
      <c r="M10" s="384">
        <f>[11]STA_SP2_NO!$K$16</f>
        <v>12.92</v>
      </c>
      <c r="N10" s="247">
        <f t="shared" si="0"/>
        <v>16952.82</v>
      </c>
    </row>
    <row r="11" spans="1:14" ht="15.75" thickBot="1" x14ac:dyDescent="0.3">
      <c r="A11" s="32">
        <v>7</v>
      </c>
      <c r="B11" s="33" t="s">
        <v>45</v>
      </c>
      <c r="C11" s="117">
        <f>[1]STA_SP2_NO!$K$17</f>
        <v>0.81</v>
      </c>
      <c r="D11" s="68">
        <f>[2]STA_SP2_NO!$K$17</f>
        <v>92.47</v>
      </c>
      <c r="E11" s="117">
        <f>[3]STA_SP2_NO!$K$17</f>
        <v>0</v>
      </c>
      <c r="F11" s="386">
        <f>[4]STA_SP2_NO!$K$17</f>
        <v>0</v>
      </c>
      <c r="G11" s="383">
        <f>[5]STA_SP2_NO!$K$17</f>
        <v>62</v>
      </c>
      <c r="H11" s="126">
        <f>[6]STA_SP2_NO!$K$17</f>
        <v>255.87</v>
      </c>
      <c r="I11" s="143">
        <f>[7]STA_SP2_NO!$K$17</f>
        <v>100</v>
      </c>
      <c r="J11" s="126">
        <f>[8]STA_SP2_NO!$K$17</f>
        <v>64</v>
      </c>
      <c r="K11" s="143">
        <f>[9]STA_SP2_NO!$K$17</f>
        <v>165.26</v>
      </c>
      <c r="L11" s="377">
        <f>[10]STA_SP2_NO!$K$17</f>
        <v>62</v>
      </c>
      <c r="M11" s="384">
        <f>[11]STA_SP2_NO!$K$17</f>
        <v>0</v>
      </c>
      <c r="N11" s="247">
        <f t="shared" si="0"/>
        <v>802.41</v>
      </c>
    </row>
    <row r="12" spans="1:14" ht="15.75" thickBot="1" x14ac:dyDescent="0.3">
      <c r="A12" s="32">
        <v>8</v>
      </c>
      <c r="B12" s="33" t="s">
        <v>46</v>
      </c>
      <c r="C12" s="117">
        <f>[1]STA_SP2_NO!$K$18</f>
        <v>740.26</v>
      </c>
      <c r="D12" s="68">
        <f>[2]STA_SP2_NO!$K$18</f>
        <v>75.31</v>
      </c>
      <c r="E12" s="117">
        <f>[3]STA_SP2_NO!$K$18</f>
        <v>1726</v>
      </c>
      <c r="F12" s="386">
        <f>[4]STA_SP2_NO!$K$18</f>
        <v>895.63</v>
      </c>
      <c r="G12" s="383">
        <f>[5]STA_SP2_NO!$K$18</f>
        <v>138</v>
      </c>
      <c r="H12" s="126">
        <f>[6]STA_SP2_NO!$K$18</f>
        <v>0</v>
      </c>
      <c r="I12" s="143">
        <f>[7]STA_SP2_NO!$K$18</f>
        <v>1364</v>
      </c>
      <c r="J12" s="126">
        <f>[8]STA_SP2_NO!$K$18</f>
        <v>1685</v>
      </c>
      <c r="K12" s="143">
        <f>[9]STA_SP2_NO!$K$18</f>
        <v>0</v>
      </c>
      <c r="L12" s="377">
        <f>[10]STA_SP2_NO!$K$18</f>
        <v>181</v>
      </c>
      <c r="M12" s="384">
        <f>[11]STA_SP2_NO!$K$18</f>
        <v>10</v>
      </c>
      <c r="N12" s="247">
        <f t="shared" si="0"/>
        <v>6815.2</v>
      </c>
    </row>
    <row r="13" spans="1:14" ht="23.25" thickBot="1" x14ac:dyDescent="0.3">
      <c r="A13" s="32">
        <v>9</v>
      </c>
      <c r="B13" s="53" t="s">
        <v>47</v>
      </c>
      <c r="C13" s="117">
        <f>[1]STA_SP2_NO!$K$19</f>
        <v>0</v>
      </c>
      <c r="D13" s="68">
        <f>[2]STA_SP2_NO!$K$19</f>
        <v>0</v>
      </c>
      <c r="E13" s="117">
        <f>[3]STA_SP2_NO!$K$19</f>
        <v>0</v>
      </c>
      <c r="F13" s="386">
        <f>[4]STA_SP2_NO!$K$19</f>
        <v>11.11</v>
      </c>
      <c r="G13" s="383">
        <f>[5]STA_SP2_NO!$K$19</f>
        <v>0</v>
      </c>
      <c r="H13" s="126">
        <f>[6]STA_SP2_NO!$K$19</f>
        <v>0</v>
      </c>
      <c r="I13" s="143">
        <f>[7]STA_SP2_NO!$K$19</f>
        <v>0</v>
      </c>
      <c r="J13" s="126">
        <f>[8]STA_SP2_NO!$K$19</f>
        <v>0</v>
      </c>
      <c r="K13" s="143">
        <f>[9]STA_SP2_NO!$K$19</f>
        <v>0</v>
      </c>
      <c r="L13" s="377">
        <f>[10]STA_SP2_NO!$K$19</f>
        <v>0</v>
      </c>
      <c r="M13" s="384">
        <f>[11]STA_SP2_NO!$K$19</f>
        <v>0</v>
      </c>
      <c r="N13" s="247">
        <f t="shared" si="0"/>
        <v>11.11</v>
      </c>
    </row>
    <row r="14" spans="1:14" ht="34.5" thickBot="1" x14ac:dyDescent="0.3">
      <c r="A14" s="32">
        <v>10</v>
      </c>
      <c r="B14" s="156" t="s">
        <v>48</v>
      </c>
      <c r="C14" s="117">
        <f>[1]STA_SP2_NO!$K$20</f>
        <v>0</v>
      </c>
      <c r="D14" s="68">
        <f>[2]STA_SP2_NO!$K$20</f>
        <v>0</v>
      </c>
      <c r="E14" s="117">
        <f>[3]STA_SP2_NO!$K$20</f>
        <v>0</v>
      </c>
      <c r="F14" s="386">
        <f>[4]STA_SP2_NO!$K$20</f>
        <v>0</v>
      </c>
      <c r="G14" s="383">
        <f>[5]STA_SP2_NO!$K$20</f>
        <v>0</v>
      </c>
      <c r="H14" s="126">
        <f>[6]STA_SP2_NO!$K$20</f>
        <v>0</v>
      </c>
      <c r="I14" s="143">
        <f>[7]STA_SP2_NO!$K$20</f>
        <v>0</v>
      </c>
      <c r="J14" s="126">
        <f>[8]STA_SP2_NO!$K$20</f>
        <v>0</v>
      </c>
      <c r="K14" s="143">
        <f>[9]STA_SP2_NO!$K$20</f>
        <v>0</v>
      </c>
      <c r="L14" s="377">
        <f>[10]STA_SP2_NO!$K$20</f>
        <v>0</v>
      </c>
      <c r="M14" s="384">
        <f>[11]STA_SP2_NO!$K$20</f>
        <v>0</v>
      </c>
      <c r="N14" s="247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117">
        <f>[1]STA_SP2_NO!$K$21</f>
        <v>0</v>
      </c>
      <c r="D15" s="68">
        <f>[2]STA_SP2_NO!$K$21</f>
        <v>0</v>
      </c>
      <c r="E15" s="117">
        <f>[3]STA_SP2_NO!$K$21</f>
        <v>0</v>
      </c>
      <c r="F15" s="386">
        <f>[4]STA_SP2_NO!$K$21</f>
        <v>0</v>
      </c>
      <c r="G15" s="383">
        <f>[5]STA_SP2_NO!$K$21</f>
        <v>154</v>
      </c>
      <c r="H15" s="126">
        <f>[6]STA_SP2_NO!$K$21</f>
        <v>0</v>
      </c>
      <c r="I15" s="143">
        <f>[7]STA_SP2_NO!$K$21</f>
        <v>0</v>
      </c>
      <c r="J15" s="126">
        <f>[8]STA_SP2_NO!$K$21</f>
        <v>0</v>
      </c>
      <c r="K15" s="143">
        <f>[9]STA_SP2_NO!$K$21</f>
        <v>0</v>
      </c>
      <c r="L15" s="377">
        <f>[10]STA_SP2_NO!$K$21</f>
        <v>0</v>
      </c>
      <c r="M15" s="384">
        <f>[11]STA_SP2_NO!$K$21</f>
        <v>0</v>
      </c>
      <c r="N15" s="247">
        <f t="shared" si="0"/>
        <v>154</v>
      </c>
    </row>
    <row r="16" spans="1:14" ht="57" thickBot="1" x14ac:dyDescent="0.3">
      <c r="A16" s="32">
        <v>12</v>
      </c>
      <c r="B16" s="53" t="s">
        <v>50</v>
      </c>
      <c r="C16" s="117">
        <f>[1]STA_SP2_NO!$K$22</f>
        <v>0</v>
      </c>
      <c r="D16" s="68">
        <f>[2]STA_SP2_NO!$K$22</f>
        <v>0</v>
      </c>
      <c r="E16" s="117">
        <f>[3]STA_SP2_NO!$K$22</f>
        <v>0</v>
      </c>
      <c r="F16" s="386">
        <f>[4]STA_SP2_NO!$K$22</f>
        <v>0</v>
      </c>
      <c r="G16" s="383">
        <f>[5]STA_SP2_NO!$K$22</f>
        <v>0</v>
      </c>
      <c r="H16" s="126">
        <f>[6]STA_SP2_NO!$K$22</f>
        <v>0</v>
      </c>
      <c r="I16" s="143">
        <f>[7]STA_SP2_NO!$K$22</f>
        <v>0</v>
      </c>
      <c r="J16" s="126">
        <f>[8]STA_SP2_NO!$K$22</f>
        <v>0</v>
      </c>
      <c r="K16" s="143">
        <f>[9]STA_SP2_NO!$K$22</f>
        <v>0</v>
      </c>
      <c r="L16" s="377">
        <f>[10]STA_SP2_NO!$K$22</f>
        <v>0</v>
      </c>
      <c r="M16" s="384">
        <f>[11]STA_SP2_NO!$K$22</f>
        <v>0</v>
      </c>
      <c r="N16" s="247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117">
        <f>[1]STA_SP2_NO!$K$23</f>
        <v>0</v>
      </c>
      <c r="D17" s="68">
        <f>[2]STA_SP2_NO!$K$23</f>
        <v>0</v>
      </c>
      <c r="E17" s="117">
        <f>[3]STA_SP2_NO!$K$23</f>
        <v>0</v>
      </c>
      <c r="F17" s="386">
        <f>[4]STA_SP2_NO!$K$23</f>
        <v>0</v>
      </c>
      <c r="G17" s="383">
        <f>[5]STA_SP2_NO!$K$23</f>
        <v>0</v>
      </c>
      <c r="H17" s="126">
        <f>[6]STA_SP2_NO!$K$23</f>
        <v>0</v>
      </c>
      <c r="I17" s="143">
        <f>[7]STA_SP2_NO!$K$23</f>
        <v>0</v>
      </c>
      <c r="J17" s="126">
        <f>[8]STA_SP2_NO!$K$23</f>
        <v>0</v>
      </c>
      <c r="K17" s="143">
        <f>[9]STA_SP2_NO!$K$23</f>
        <v>0</v>
      </c>
      <c r="L17" s="377">
        <f>[10]STA_SP2_NO!$K$23</f>
        <v>0</v>
      </c>
      <c r="M17" s="384">
        <f>[11]STA_SP2_NO!$K$23</f>
        <v>0</v>
      </c>
      <c r="N17" s="247">
        <f t="shared" si="0"/>
        <v>0</v>
      </c>
    </row>
    <row r="18" spans="1:14" ht="15.75" thickBot="1" x14ac:dyDescent="0.3">
      <c r="A18" s="36"/>
      <c r="B18" s="37" t="s">
        <v>37</v>
      </c>
      <c r="C18" s="41">
        <f t="shared" ref="C18:E18" si="1">SUM(C5:C17)</f>
        <v>269318.16000000003</v>
      </c>
      <c r="D18" s="42">
        <f>SUM(D5:D17)</f>
        <v>108563.39</v>
      </c>
      <c r="E18" s="41">
        <f t="shared" si="1"/>
        <v>80514</v>
      </c>
      <c r="F18" s="39">
        <f t="shared" ref="F18:N18" si="2">SUM(F5:F17)</f>
        <v>123500.4</v>
      </c>
      <c r="G18" s="40">
        <f t="shared" si="2"/>
        <v>125188</v>
      </c>
      <c r="H18" s="39">
        <f t="shared" si="2"/>
        <v>147375.93999999997</v>
      </c>
      <c r="I18" s="40">
        <f t="shared" si="2"/>
        <v>274901</v>
      </c>
      <c r="J18" s="51">
        <f t="shared" si="2"/>
        <v>112904</v>
      </c>
      <c r="K18" s="40">
        <f t="shared" si="2"/>
        <v>101840.04</v>
      </c>
      <c r="L18" s="378">
        <f t="shared" si="2"/>
        <v>144239</v>
      </c>
      <c r="M18" s="331">
        <f t="shared" si="2"/>
        <v>11695.03</v>
      </c>
      <c r="N18" s="248">
        <f t="shared" si="2"/>
        <v>1500038.9600000002</v>
      </c>
    </row>
    <row r="19" spans="1:14" ht="15.75" thickBot="1" x14ac:dyDescent="0.3">
      <c r="G19" s="339"/>
      <c r="H19" s="1"/>
      <c r="I19" s="339"/>
      <c r="J19" s="1"/>
      <c r="K19" s="339"/>
      <c r="L19" s="1"/>
      <c r="M19" s="339"/>
    </row>
    <row r="20" spans="1:14" ht="15.75" thickBot="1" x14ac:dyDescent="0.3">
      <c r="A20" s="531" t="s">
        <v>53</v>
      </c>
      <c r="B20" s="532"/>
      <c r="C20" s="55">
        <f>C18/N18</f>
        <v>0.17954077672755914</v>
      </c>
      <c r="D20" s="56">
        <f>D18/N18</f>
        <v>7.2373713546746807E-2</v>
      </c>
      <c r="E20" s="48">
        <f>E18/N18</f>
        <v>5.3674605891569638E-2</v>
      </c>
      <c r="F20" s="47">
        <f>F18/N18</f>
        <v>8.2331461577504608E-2</v>
      </c>
      <c r="G20" s="70">
        <f>G18/N18</f>
        <v>8.3456499023198696E-2</v>
      </c>
      <c r="H20" s="47">
        <f>H18/N18</f>
        <v>9.8248074836669544E-2</v>
      </c>
      <c r="I20" s="70">
        <f>I18/N18</f>
        <v>0.18326257339342703</v>
      </c>
      <c r="J20" s="47">
        <f>J18/N18</f>
        <v>7.5267378388625308E-2</v>
      </c>
      <c r="K20" s="70">
        <f>K18/N18</f>
        <v>6.7891596628930212E-2</v>
      </c>
      <c r="L20" s="387">
        <f>L18/N18</f>
        <v>9.6156835819784292E-2</v>
      </c>
      <c r="M20" s="340">
        <f>M18/N18</f>
        <v>7.7964841659845952E-3</v>
      </c>
      <c r="N20" s="256">
        <f>SUM(C20:M20)</f>
        <v>0.99999999999999978</v>
      </c>
    </row>
    <row r="21" spans="1:14" x14ac:dyDescent="0.25">
      <c r="K21" s="339"/>
    </row>
  </sheetData>
  <mergeCells count="17">
    <mergeCell ref="A20:B20"/>
    <mergeCell ref="C1:K1"/>
    <mergeCell ref="A2:A4"/>
    <mergeCell ref="B2:B4"/>
    <mergeCell ref="H3:H4"/>
    <mergeCell ref="I3:I4"/>
    <mergeCell ref="J3:J4"/>
    <mergeCell ref="K3:K4"/>
    <mergeCell ref="N2:N4"/>
    <mergeCell ref="C3:C4"/>
    <mergeCell ref="D3:D4"/>
    <mergeCell ref="E3:E4"/>
    <mergeCell ref="F3:F4"/>
    <mergeCell ref="G3:G4"/>
    <mergeCell ref="L3:L4"/>
    <mergeCell ref="C2:M2"/>
    <mergeCell ref="M3:M4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R27" sqref="R27"/>
    </sheetView>
  </sheetViews>
  <sheetFormatPr defaultRowHeight="15" x14ac:dyDescent="0.25"/>
  <cols>
    <col min="1" max="1" width="4" customWidth="1"/>
    <col min="2" max="2" width="21.5703125" customWidth="1"/>
  </cols>
  <sheetData>
    <row r="1" spans="1:15" ht="27.75" customHeight="1" thickBot="1" x14ac:dyDescent="0.3">
      <c r="A1" s="120"/>
      <c r="B1" s="26"/>
      <c r="C1" s="458" t="s">
        <v>112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52"/>
    </row>
    <row r="2" spans="1:15" ht="15.75" thickBot="1" x14ac:dyDescent="0.3">
      <c r="A2" s="461" t="s">
        <v>0</v>
      </c>
      <c r="B2" s="463" t="s">
        <v>1</v>
      </c>
      <c r="C2" s="483" t="s">
        <v>2</v>
      </c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8" t="s">
        <v>3</v>
      </c>
    </row>
    <row r="3" spans="1:15" x14ac:dyDescent="0.25">
      <c r="A3" s="501"/>
      <c r="B3" s="502"/>
      <c r="C3" s="508" t="s">
        <v>69</v>
      </c>
      <c r="D3" s="502" t="s">
        <v>4</v>
      </c>
      <c r="E3" s="512" t="s">
        <v>5</v>
      </c>
      <c r="F3" s="463" t="s">
        <v>6</v>
      </c>
      <c r="G3" s="495" t="s">
        <v>8</v>
      </c>
      <c r="H3" s="463" t="s">
        <v>94</v>
      </c>
      <c r="I3" s="495" t="s">
        <v>9</v>
      </c>
      <c r="J3" s="505" t="s">
        <v>10</v>
      </c>
      <c r="K3" s="495" t="s">
        <v>93</v>
      </c>
      <c r="L3" s="463" t="s">
        <v>11</v>
      </c>
      <c r="M3" s="524" t="s">
        <v>96</v>
      </c>
      <c r="N3" s="534"/>
    </row>
    <row r="4" spans="1:15" ht="15.75" thickBot="1" x14ac:dyDescent="0.3">
      <c r="A4" s="496"/>
      <c r="B4" s="503"/>
      <c r="C4" s="510"/>
      <c r="D4" s="496"/>
      <c r="E4" s="496"/>
      <c r="F4" s="496"/>
      <c r="G4" s="504"/>
      <c r="H4" s="464"/>
      <c r="I4" s="504"/>
      <c r="J4" s="506"/>
      <c r="K4" s="504"/>
      <c r="L4" s="464"/>
      <c r="M4" s="525"/>
      <c r="N4" s="535"/>
    </row>
    <row r="5" spans="1:15" x14ac:dyDescent="0.25">
      <c r="A5" s="30">
        <v>1</v>
      </c>
      <c r="B5" s="31" t="s">
        <v>39</v>
      </c>
      <c r="C5" s="62">
        <f>[1]STA_SP2_NO!$J$25</f>
        <v>61</v>
      </c>
      <c r="D5" s="118">
        <f>[2]STA_SP2_NO!$J$25</f>
        <v>34</v>
      </c>
      <c r="E5" s="61">
        <f>[3]STA_SP2_NO!$J$25</f>
        <v>20</v>
      </c>
      <c r="F5" s="118">
        <f>[4]STA_SP2_NO!$J$25</f>
        <v>49</v>
      </c>
      <c r="G5" s="143">
        <f>[5]STA_SP2_NO!$J$25</f>
        <v>33</v>
      </c>
      <c r="H5" s="118">
        <f>[6]STA_SP2_NO!$J$25</f>
        <v>58</v>
      </c>
      <c r="I5" s="143">
        <f>[7]STA_SP2_NO!$J$25</f>
        <v>81</v>
      </c>
      <c r="J5" s="118">
        <f>[8]STA_SP2_NO!$J$25</f>
        <v>27</v>
      </c>
      <c r="K5" s="143">
        <f>[9]STA_SP2_NO!$J$25</f>
        <v>60</v>
      </c>
      <c r="L5" s="385">
        <f>[10]STA_SP2_NO!$J$25</f>
        <v>36</v>
      </c>
      <c r="M5" s="392">
        <f>[11]STA_SP2_NO!$J$25</f>
        <v>4</v>
      </c>
      <c r="N5" s="399">
        <f t="shared" ref="N5:N12" si="0">SUM(C5:M5)</f>
        <v>463</v>
      </c>
    </row>
    <row r="6" spans="1:15" x14ac:dyDescent="0.25">
      <c r="A6" s="32">
        <v>2</v>
      </c>
      <c r="B6" s="33" t="s">
        <v>40</v>
      </c>
      <c r="C6" s="62">
        <f>[1]STA_SP2_NO!$J$26</f>
        <v>108</v>
      </c>
      <c r="D6" s="118">
        <f>[2]STA_SP2_NO!$J$26</f>
        <v>115</v>
      </c>
      <c r="E6" s="61">
        <f>[3]STA_SP2_NO!$J$26</f>
        <v>38</v>
      </c>
      <c r="F6" s="118">
        <f>[4]STA_SP2_NO!$J$26</f>
        <v>78</v>
      </c>
      <c r="G6" s="143">
        <f>[5]STA_SP2_NO!$J$26</f>
        <v>24</v>
      </c>
      <c r="H6" s="118">
        <f>[6]STA_SP2_NO!$J$26</f>
        <v>34</v>
      </c>
      <c r="I6" s="143">
        <f>[7]STA_SP2_NO!$J$26</f>
        <v>53</v>
      </c>
      <c r="J6" s="118">
        <f>[8]STA_SP2_NO!$J$26</f>
        <v>35</v>
      </c>
      <c r="K6" s="143">
        <f>[9]STA_SP2_NO!$J$26</f>
        <v>41</v>
      </c>
      <c r="L6" s="385">
        <f>[10]STA_SP2_NO!$J$26</f>
        <v>36</v>
      </c>
      <c r="M6" s="392">
        <f>[11]STA_SP2_NO!$J$26</f>
        <v>1</v>
      </c>
      <c r="N6" s="399">
        <f t="shared" si="0"/>
        <v>563</v>
      </c>
    </row>
    <row r="7" spans="1:15" x14ac:dyDescent="0.25">
      <c r="A7" s="32">
        <v>3</v>
      </c>
      <c r="B7" s="33" t="s">
        <v>41</v>
      </c>
      <c r="C7" s="62">
        <f>[1]STA_SP2_NO!$J$27</f>
        <v>7</v>
      </c>
      <c r="D7" s="118">
        <f>[2]STA_SP2_NO!$J$27</f>
        <v>7</v>
      </c>
      <c r="E7" s="61">
        <f>[3]STA_SP2_NO!$J$27</f>
        <v>2</v>
      </c>
      <c r="F7" s="118">
        <f>[4]STA_SP2_NO!$J$27</f>
        <v>9</v>
      </c>
      <c r="G7" s="143">
        <f>[5]STA_SP2_NO!$J$27</f>
        <v>7</v>
      </c>
      <c r="H7" s="118">
        <f>[6]STA_SP2_NO!$J$27</f>
        <v>16</v>
      </c>
      <c r="I7" s="143">
        <f>[7]STA_SP2_NO!$J$27</f>
        <v>8</v>
      </c>
      <c r="J7" s="118">
        <f>[8]STA_SP2_NO!$J$27</f>
        <v>3</v>
      </c>
      <c r="K7" s="143">
        <f>[9]STA_SP2_NO!$J$27</f>
        <v>9</v>
      </c>
      <c r="L7" s="385">
        <f>[10]STA_SP2_NO!$J$27</f>
        <v>2</v>
      </c>
      <c r="M7" s="392">
        <f>[11]STA_SP2_NO!$J$27</f>
        <v>0</v>
      </c>
      <c r="N7" s="399">
        <f t="shared" si="0"/>
        <v>70</v>
      </c>
    </row>
    <row r="8" spans="1:15" x14ac:dyDescent="0.25">
      <c r="A8" s="32">
        <v>4</v>
      </c>
      <c r="B8" s="33" t="s">
        <v>42</v>
      </c>
      <c r="C8" s="62">
        <f>[1]STA_SP2_NO!$J$28</f>
        <v>0</v>
      </c>
      <c r="D8" s="118">
        <f>[2]STA_SP2_NO!$J$28</f>
        <v>0</v>
      </c>
      <c r="E8" s="61">
        <f>[3]STA_SP2_NO!$J$28</f>
        <v>0</v>
      </c>
      <c r="F8" s="118">
        <f>[4]STA_SP2_NO!$J$28</f>
        <v>0</v>
      </c>
      <c r="G8" s="143">
        <f>[5]STA_SP2_NO!$J$28</f>
        <v>0</v>
      </c>
      <c r="H8" s="118">
        <f>[6]STA_SP2_NO!$J$28</f>
        <v>0</v>
      </c>
      <c r="I8" s="143">
        <f>[7]STA_SP2_NO!$J$28</f>
        <v>0</v>
      </c>
      <c r="J8" s="118">
        <f>[8]STA_SP2_NO!$J$28</f>
        <v>0</v>
      </c>
      <c r="K8" s="143">
        <f>[9]STA_SP2_NO!$J$28</f>
        <v>0</v>
      </c>
      <c r="L8" s="385">
        <f>[10]STA_SP2_NO!$J$28</f>
        <v>0</v>
      </c>
      <c r="M8" s="392">
        <f>[11]STA_SP2_NO!$J$28</f>
        <v>0</v>
      </c>
      <c r="N8" s="399">
        <f t="shared" si="0"/>
        <v>0</v>
      </c>
    </row>
    <row r="9" spans="1:15" x14ac:dyDescent="0.25">
      <c r="A9" s="32">
        <v>5</v>
      </c>
      <c r="B9" s="33" t="s">
        <v>43</v>
      </c>
      <c r="C9" s="62">
        <f>[1]STA_SP2_NO!$J$29</f>
        <v>0</v>
      </c>
      <c r="D9" s="118">
        <f>[2]STA_SP2_NO!$J$29</f>
        <v>0</v>
      </c>
      <c r="E9" s="61">
        <f>[3]STA_SP2_NO!$J$29</f>
        <v>0</v>
      </c>
      <c r="F9" s="118">
        <f>[4]STA_SP2_NO!$J$29</f>
        <v>0</v>
      </c>
      <c r="G9" s="143">
        <f>[5]STA_SP2_NO!$J$29</f>
        <v>0</v>
      </c>
      <c r="H9" s="118">
        <f>[6]STA_SP2_NO!$J$29</f>
        <v>0</v>
      </c>
      <c r="I9" s="143">
        <f>[7]STA_SP2_NO!$J$29</f>
        <v>0</v>
      </c>
      <c r="J9" s="118">
        <f>[8]STA_SP2_NO!$J$29</f>
        <v>0</v>
      </c>
      <c r="K9" s="143">
        <f>[9]STA_SP2_NO!$J$29</f>
        <v>0</v>
      </c>
      <c r="L9" s="385">
        <f>[10]STA_SP2_NO!$J$29</f>
        <v>0</v>
      </c>
      <c r="M9" s="392">
        <f>[11]STA_SP2_NO!$J$29</f>
        <v>0</v>
      </c>
      <c r="N9" s="399">
        <f t="shared" si="0"/>
        <v>0</v>
      </c>
    </row>
    <row r="10" spans="1:15" x14ac:dyDescent="0.25">
      <c r="A10" s="32">
        <v>6</v>
      </c>
      <c r="B10" s="33" t="s">
        <v>44</v>
      </c>
      <c r="C10" s="62">
        <f>[1]STA_SP2_NO!$J$30</f>
        <v>0</v>
      </c>
      <c r="D10" s="118">
        <f>[2]STA_SP2_NO!$J$30</f>
        <v>0</v>
      </c>
      <c r="E10" s="61">
        <f>[3]STA_SP2_NO!$J$30</f>
        <v>0</v>
      </c>
      <c r="F10" s="118">
        <f>[4]STA_SP2_NO!$J$30</f>
        <v>0</v>
      </c>
      <c r="G10" s="143">
        <f>[5]STA_SP2_NO!$J$30</f>
        <v>1</v>
      </c>
      <c r="H10" s="118">
        <f>[6]STA_SP2_NO!$J$30</f>
        <v>1</v>
      </c>
      <c r="I10" s="143">
        <f>[7]STA_SP2_NO!$J$30</f>
        <v>0</v>
      </c>
      <c r="J10" s="118">
        <f>[8]STA_SP2_NO!$J$30</f>
        <v>0</v>
      </c>
      <c r="K10" s="143">
        <f>[9]STA_SP2_NO!$J$30</f>
        <v>0</v>
      </c>
      <c r="L10" s="385">
        <f>[10]STA_SP2_NO!$J$30</f>
        <v>0</v>
      </c>
      <c r="M10" s="392">
        <f>[11]STA_SP2_NO!$J$30</f>
        <v>0</v>
      </c>
      <c r="N10" s="399">
        <f t="shared" si="0"/>
        <v>2</v>
      </c>
    </row>
    <row r="11" spans="1:15" x14ac:dyDescent="0.25">
      <c r="A11" s="32">
        <v>7</v>
      </c>
      <c r="B11" s="33" t="s">
        <v>45</v>
      </c>
      <c r="C11" s="62">
        <f>[1]STA_SP2_NO!$J$31</f>
        <v>3</v>
      </c>
      <c r="D11" s="118">
        <f>[2]STA_SP2_NO!$J$31</f>
        <v>5</v>
      </c>
      <c r="E11" s="61">
        <f>[3]STA_SP2_NO!$J$31</f>
        <v>3</v>
      </c>
      <c r="F11" s="118">
        <f>[4]STA_SP2_NO!$J$31</f>
        <v>0</v>
      </c>
      <c r="G11" s="143">
        <f>[5]STA_SP2_NO!$J$31</f>
        <v>1</v>
      </c>
      <c r="H11" s="118">
        <f>[6]STA_SP2_NO!$J$31</f>
        <v>3</v>
      </c>
      <c r="I11" s="143">
        <f>[7]STA_SP2_NO!$J$31</f>
        <v>3</v>
      </c>
      <c r="J11" s="118">
        <f>[8]STA_SP2_NO!$J$31</f>
        <v>1</v>
      </c>
      <c r="K11" s="143">
        <f>[9]STA_SP2_NO!$J$31</f>
        <v>0</v>
      </c>
      <c r="L11" s="385">
        <f>[10]STA_SP2_NO!$J$31</f>
        <v>0</v>
      </c>
      <c r="M11" s="392">
        <f>[11]STA_SP2_NO!$J$31</f>
        <v>0</v>
      </c>
      <c r="N11" s="399">
        <f t="shared" si="0"/>
        <v>19</v>
      </c>
    </row>
    <row r="12" spans="1:15" ht="15.75" thickBot="1" x14ac:dyDescent="0.3">
      <c r="A12" s="34">
        <v>8</v>
      </c>
      <c r="B12" s="35" t="s">
        <v>46</v>
      </c>
      <c r="C12" s="62">
        <f>[1]STA_SP2_NO!$J$32</f>
        <v>0</v>
      </c>
      <c r="D12" s="118">
        <f>[2]STA_SP2_NO!$J$32</f>
        <v>0</v>
      </c>
      <c r="E12" s="61">
        <f>[3]STA_SP2_NO!$J$32</f>
        <v>0</v>
      </c>
      <c r="F12" s="118">
        <f>[4]STA_SP2_NO!$J$32</f>
        <v>0</v>
      </c>
      <c r="G12" s="143">
        <f>[5]STA_SP2_NO!$J$32</f>
        <v>0</v>
      </c>
      <c r="H12" s="118">
        <f>[6]STA_SP2_NO!$J$32</f>
        <v>0</v>
      </c>
      <c r="I12" s="143">
        <f>[7]STA_SP2_NO!$J$32</f>
        <v>0</v>
      </c>
      <c r="J12" s="118">
        <f>[8]STA_SP2_NO!$J$32</f>
        <v>0</v>
      </c>
      <c r="K12" s="143">
        <f>[9]STA_SP2_NO!$J$32</f>
        <v>0</v>
      </c>
      <c r="L12" s="385">
        <f>[10]STA_SP2_NO!$J$32</f>
        <v>0</v>
      </c>
      <c r="M12" s="392">
        <f>[11]STA_SP2_NO!$J$32</f>
        <v>0</v>
      </c>
      <c r="N12" s="399">
        <f t="shared" si="0"/>
        <v>0</v>
      </c>
    </row>
    <row r="13" spans="1:15" ht="15.75" thickBot="1" x14ac:dyDescent="0.3">
      <c r="A13" s="36"/>
      <c r="B13" s="37" t="s">
        <v>54</v>
      </c>
      <c r="C13" s="41">
        <f t="shared" ref="C13:F13" si="1">SUM(C5:C12)</f>
        <v>179</v>
      </c>
      <c r="D13" s="39">
        <f t="shared" si="1"/>
        <v>161</v>
      </c>
      <c r="E13" s="41">
        <f t="shared" si="1"/>
        <v>63</v>
      </c>
      <c r="F13" s="39">
        <f t="shared" si="1"/>
        <v>136</v>
      </c>
      <c r="G13" s="40">
        <f t="shared" ref="G13:N13" si="2">SUM(G5:G12)</f>
        <v>66</v>
      </c>
      <c r="H13" s="39">
        <f t="shared" si="2"/>
        <v>112</v>
      </c>
      <c r="I13" s="40">
        <f t="shared" si="2"/>
        <v>145</v>
      </c>
      <c r="J13" s="39">
        <f t="shared" si="2"/>
        <v>66</v>
      </c>
      <c r="K13" s="40">
        <f t="shared" si="2"/>
        <v>110</v>
      </c>
      <c r="L13" s="378">
        <f t="shared" si="2"/>
        <v>74</v>
      </c>
      <c r="M13" s="398">
        <f t="shared" si="2"/>
        <v>5</v>
      </c>
      <c r="N13" s="232">
        <f t="shared" si="2"/>
        <v>1117</v>
      </c>
    </row>
    <row r="14" spans="1:15" x14ac:dyDescent="0.25">
      <c r="A14" s="1"/>
      <c r="B14" s="1"/>
      <c r="C14" s="1"/>
      <c r="D14" s="1"/>
      <c r="E14" s="1"/>
      <c r="F14" s="1"/>
      <c r="G14" s="339"/>
      <c r="H14" s="1"/>
      <c r="I14" s="339"/>
      <c r="J14" s="1"/>
      <c r="K14" s="339"/>
      <c r="L14" s="1"/>
      <c r="M14" s="339"/>
      <c r="O14" s="1"/>
    </row>
    <row r="15" spans="1:15" ht="15.75" thickBot="1" x14ac:dyDescent="0.3">
      <c r="A15" s="1"/>
      <c r="B15" s="1"/>
      <c r="C15" s="1"/>
      <c r="D15" s="1"/>
      <c r="E15" s="1"/>
      <c r="F15" s="1"/>
      <c r="G15" s="339"/>
      <c r="H15" s="1"/>
      <c r="I15" s="339"/>
      <c r="J15" s="1"/>
      <c r="K15" s="339"/>
      <c r="L15" s="1"/>
      <c r="M15" s="339"/>
      <c r="O15" s="1"/>
    </row>
    <row r="16" spans="1:15" ht="15.75" thickBot="1" x14ac:dyDescent="0.3">
      <c r="A16" s="536" t="s">
        <v>53</v>
      </c>
      <c r="B16" s="537"/>
      <c r="C16" s="55">
        <f>C13/N13</f>
        <v>0.16025067144136079</v>
      </c>
      <c r="D16" s="56">
        <f>D13/N13</f>
        <v>0.14413607878245299</v>
      </c>
      <c r="E16" s="48">
        <f>E13/N13</f>
        <v>5.640107430617726E-2</v>
      </c>
      <c r="F16" s="47">
        <f>F13/N13</f>
        <v>0.12175470008952552</v>
      </c>
      <c r="G16" s="70">
        <f>G13/N13</f>
        <v>5.908683974932856E-2</v>
      </c>
      <c r="H16" s="47">
        <f>H13/N13</f>
        <v>0.10026857654431513</v>
      </c>
      <c r="I16" s="70">
        <f>I13/N13</f>
        <v>0.12981199641897942</v>
      </c>
      <c r="J16" s="47">
        <f>J13/N13</f>
        <v>5.908683974932856E-2</v>
      </c>
      <c r="K16" s="70">
        <f>K13/N13</f>
        <v>9.8478066248880933E-2</v>
      </c>
      <c r="L16" s="47">
        <f>L13/N13</f>
        <v>6.624888093106536E-2</v>
      </c>
      <c r="M16" s="340">
        <f>M13/N13</f>
        <v>4.4762757385854966E-3</v>
      </c>
      <c r="N16" s="256">
        <f>SUM(C16:M16)</f>
        <v>1</v>
      </c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1"/>
      <c r="B18" s="26"/>
      <c r="C18" s="458" t="s">
        <v>113</v>
      </c>
      <c r="D18" s="459"/>
      <c r="E18" s="459"/>
      <c r="F18" s="459"/>
      <c r="G18" s="459"/>
      <c r="H18" s="459"/>
      <c r="I18" s="459"/>
      <c r="J18" s="460"/>
      <c r="K18" s="460"/>
      <c r="L18" s="26"/>
      <c r="M18" s="26"/>
      <c r="N18" s="155" t="s">
        <v>36</v>
      </c>
    </row>
    <row r="19" spans="1:15" ht="15.75" thickBot="1" x14ac:dyDescent="0.3">
      <c r="A19" s="461" t="s">
        <v>0</v>
      </c>
      <c r="B19" s="523" t="s">
        <v>1</v>
      </c>
      <c r="C19" s="483" t="s">
        <v>2</v>
      </c>
      <c r="D19" s="484"/>
      <c r="E19" s="484"/>
      <c r="F19" s="484"/>
      <c r="G19" s="484"/>
      <c r="H19" s="484"/>
      <c r="I19" s="484"/>
      <c r="J19" s="484"/>
      <c r="K19" s="484"/>
      <c r="L19" s="484"/>
      <c r="M19" s="485"/>
      <c r="N19" s="488" t="s">
        <v>3</v>
      </c>
    </row>
    <row r="20" spans="1:15" x14ac:dyDescent="0.25">
      <c r="A20" s="501"/>
      <c r="B20" s="502"/>
      <c r="C20" s="508" t="s">
        <v>69</v>
      </c>
      <c r="D20" s="502" t="s">
        <v>4</v>
      </c>
      <c r="E20" s="512" t="s">
        <v>5</v>
      </c>
      <c r="F20" s="463" t="s">
        <v>6</v>
      </c>
      <c r="G20" s="495" t="s">
        <v>8</v>
      </c>
      <c r="H20" s="463" t="s">
        <v>94</v>
      </c>
      <c r="I20" s="495" t="s">
        <v>9</v>
      </c>
      <c r="J20" s="505" t="s">
        <v>10</v>
      </c>
      <c r="K20" s="495" t="s">
        <v>93</v>
      </c>
      <c r="L20" s="463" t="s">
        <v>11</v>
      </c>
      <c r="M20" s="524" t="s">
        <v>96</v>
      </c>
      <c r="N20" s="534"/>
    </row>
    <row r="21" spans="1:15" ht="15.75" thickBot="1" x14ac:dyDescent="0.3">
      <c r="A21" s="496"/>
      <c r="B21" s="503"/>
      <c r="C21" s="510"/>
      <c r="D21" s="496"/>
      <c r="E21" s="496"/>
      <c r="F21" s="496"/>
      <c r="G21" s="504"/>
      <c r="H21" s="464"/>
      <c r="I21" s="504"/>
      <c r="J21" s="506"/>
      <c r="K21" s="504"/>
      <c r="L21" s="464"/>
      <c r="M21" s="525"/>
      <c r="N21" s="535"/>
    </row>
    <row r="22" spans="1:15" x14ac:dyDescent="0.25">
      <c r="A22" s="30">
        <v>1</v>
      </c>
      <c r="B22" s="31" t="s">
        <v>39</v>
      </c>
      <c r="C22" s="62">
        <f>[1]STA_SP2_NO!$K$25</f>
        <v>11595.82</v>
      </c>
      <c r="D22" s="118">
        <f>[2]STA_SP2_NO!$K$25</f>
        <v>6007.5</v>
      </c>
      <c r="E22" s="61">
        <f>[3]STA_SP2_NO!$K$25</f>
        <v>4041</v>
      </c>
      <c r="F22" s="118">
        <f>[4]STA_SP2_NO!$K$25</f>
        <v>13480.27</v>
      </c>
      <c r="G22" s="143">
        <f>[5]STA_SP2_NO!$K$25</f>
        <v>13002</v>
      </c>
      <c r="H22" s="118">
        <f>[6]STA_SP2_NO!$K$25</f>
        <v>9918.11</v>
      </c>
      <c r="I22" s="143">
        <f>[7]STA_SP2_NO!$K$25</f>
        <v>16648</v>
      </c>
      <c r="J22" s="118">
        <f>[8]STA_SP2_NO!$K$25</f>
        <v>7575</v>
      </c>
      <c r="K22" s="143">
        <f>[9]STA_SP2_NO!$K$25</f>
        <v>22859.81</v>
      </c>
      <c r="L22" s="385">
        <f>[10]STA_SP2_NO!$K$25</f>
        <v>7328</v>
      </c>
      <c r="M22" s="392">
        <f>[11]STA_SP2_NO!$K$25</f>
        <v>198.97</v>
      </c>
      <c r="N22" s="395">
        <f t="shared" ref="N22:N29" si="3">SUM(C22:M22)</f>
        <v>112654.48</v>
      </c>
    </row>
    <row r="23" spans="1:15" x14ac:dyDescent="0.25">
      <c r="A23" s="32">
        <v>2</v>
      </c>
      <c r="B23" s="33" t="s">
        <v>40</v>
      </c>
      <c r="C23" s="62">
        <f>[1]STA_SP2_NO!$K$26</f>
        <v>29154.62</v>
      </c>
      <c r="D23" s="118">
        <f>[2]STA_SP2_NO!$K$26</f>
        <v>31937.200000000001</v>
      </c>
      <c r="E23" s="61">
        <f>[3]STA_SP2_NO!$K$26</f>
        <v>14170</v>
      </c>
      <c r="F23" s="118">
        <f>[4]STA_SP2_NO!$K$26</f>
        <v>15803.86</v>
      </c>
      <c r="G23" s="143">
        <f>[5]STA_SP2_NO!$K$26</f>
        <v>6665</v>
      </c>
      <c r="H23" s="118">
        <f>[6]STA_SP2_NO!$K$26</f>
        <v>8311.17</v>
      </c>
      <c r="I23" s="143">
        <f>[7]STA_SP2_NO!$K$26</f>
        <v>11433</v>
      </c>
      <c r="J23" s="118">
        <f>[8]STA_SP2_NO!$K$26</f>
        <v>14486</v>
      </c>
      <c r="K23" s="143">
        <f>[9]STA_SP2_NO!$K$26</f>
        <v>11110.35</v>
      </c>
      <c r="L23" s="385">
        <f>[10]STA_SP2_NO!$K$26</f>
        <v>9337</v>
      </c>
      <c r="M23" s="392">
        <f>[11]STA_SP2_NO!$K$26</f>
        <v>159.44</v>
      </c>
      <c r="N23" s="395">
        <f t="shared" si="3"/>
        <v>152567.64000000001</v>
      </c>
    </row>
    <row r="24" spans="1:15" x14ac:dyDescent="0.25">
      <c r="A24" s="32">
        <v>3</v>
      </c>
      <c r="B24" s="33" t="s">
        <v>41</v>
      </c>
      <c r="C24" s="62">
        <f>[1]STA_SP2_NO!$K$27</f>
        <v>956.64</v>
      </c>
      <c r="D24" s="118">
        <f>[2]STA_SP2_NO!$K$27</f>
        <v>1006.68</v>
      </c>
      <c r="E24" s="61">
        <f>[3]STA_SP2_NO!$K$27</f>
        <v>148</v>
      </c>
      <c r="F24" s="118">
        <f>[4]STA_SP2_NO!$K$27</f>
        <v>3526.57</v>
      </c>
      <c r="G24" s="143">
        <f>[5]STA_SP2_NO!$K$27</f>
        <v>423</v>
      </c>
      <c r="H24" s="118">
        <f>[6]STA_SP2_NO!$K$27</f>
        <v>3818.53</v>
      </c>
      <c r="I24" s="143">
        <f>[7]STA_SP2_NO!$K$27</f>
        <v>1026</v>
      </c>
      <c r="J24" s="118">
        <f>[8]STA_SP2_NO!$K$27</f>
        <v>278</v>
      </c>
      <c r="K24" s="143">
        <f>[9]STA_SP2_NO!$K$27</f>
        <v>2784.57</v>
      </c>
      <c r="L24" s="385">
        <f>[10]STA_SP2_NO!$K$27</f>
        <v>1765</v>
      </c>
      <c r="M24" s="392">
        <f>[11]STA_SP2_NO!$K$27</f>
        <v>0</v>
      </c>
      <c r="N24" s="395">
        <f t="shared" si="3"/>
        <v>15732.99</v>
      </c>
    </row>
    <row r="25" spans="1:15" x14ac:dyDescent="0.25">
      <c r="A25" s="32">
        <v>4</v>
      </c>
      <c r="B25" s="33" t="s">
        <v>42</v>
      </c>
      <c r="C25" s="62">
        <f>[1]STA_SP2_NO!$K$28</f>
        <v>0</v>
      </c>
      <c r="D25" s="118">
        <f>[2]STA_SP2_NO!$K$28</f>
        <v>0</v>
      </c>
      <c r="E25" s="61">
        <f>[3]STA_SP2_NO!$K$28</f>
        <v>0</v>
      </c>
      <c r="F25" s="118">
        <f>[4]STA_SP2_NO!$K$28</f>
        <v>0</v>
      </c>
      <c r="G25" s="143">
        <f>[5]STA_SP2_NO!$K$28</f>
        <v>0</v>
      </c>
      <c r="H25" s="118">
        <f>[6]STA_SP2_NO!$K$28</f>
        <v>0</v>
      </c>
      <c r="I25" s="143">
        <f>[7]STA_SP2_NO!$K$28</f>
        <v>0</v>
      </c>
      <c r="J25" s="118">
        <f>[8]STA_SP2_NO!$K$28</f>
        <v>0</v>
      </c>
      <c r="K25" s="143">
        <f>[9]STA_SP2_NO!$K$28</f>
        <v>0</v>
      </c>
      <c r="L25" s="385">
        <f>[10]STA_SP2_NO!$K$28</f>
        <v>0</v>
      </c>
      <c r="M25" s="392">
        <f>[11]STA_SP2_NO!$K$28</f>
        <v>0</v>
      </c>
      <c r="N25" s="395">
        <f t="shared" si="3"/>
        <v>0</v>
      </c>
    </row>
    <row r="26" spans="1:15" x14ac:dyDescent="0.25">
      <c r="A26" s="32">
        <v>5</v>
      </c>
      <c r="B26" s="33" t="s">
        <v>43</v>
      </c>
      <c r="C26" s="62">
        <f>[1]STA_SP2_NO!$K$29</f>
        <v>0</v>
      </c>
      <c r="D26" s="118">
        <f>[2]STA_SP2_NO!$K$29</f>
        <v>0</v>
      </c>
      <c r="E26" s="61">
        <f>[3]STA_SP2_NO!$K$29</f>
        <v>0</v>
      </c>
      <c r="F26" s="118">
        <f>[4]STA_SP2_NO!$K$29</f>
        <v>0</v>
      </c>
      <c r="G26" s="143">
        <f>[5]STA_SP2_NO!$K$29</f>
        <v>0</v>
      </c>
      <c r="H26" s="118">
        <f>[6]STA_SP2_NO!$K$29</f>
        <v>0</v>
      </c>
      <c r="I26" s="143">
        <f>[7]STA_SP2_NO!$K$29</f>
        <v>0</v>
      </c>
      <c r="J26" s="118">
        <f>[8]STA_SP2_NO!$K$29</f>
        <v>0</v>
      </c>
      <c r="K26" s="143">
        <f>[9]STA_SP2_NO!$K$29</f>
        <v>0</v>
      </c>
      <c r="L26" s="385">
        <f>[10]STA_SP2_NO!$K$29</f>
        <v>0</v>
      </c>
      <c r="M26" s="392">
        <f>[11]STA_SP2_NO!$K$29</f>
        <v>0</v>
      </c>
      <c r="N26" s="395">
        <f t="shared" si="3"/>
        <v>0</v>
      </c>
    </row>
    <row r="27" spans="1:15" x14ac:dyDescent="0.25">
      <c r="A27" s="32">
        <v>6</v>
      </c>
      <c r="B27" s="33" t="s">
        <v>44</v>
      </c>
      <c r="C27" s="62">
        <f>[1]STA_SP2_NO!$K$30</f>
        <v>0</v>
      </c>
      <c r="D27" s="118">
        <f>[2]STA_SP2_NO!$K$30</f>
        <v>0</v>
      </c>
      <c r="E27" s="61">
        <f>[3]STA_SP2_NO!$K$30</f>
        <v>0</v>
      </c>
      <c r="F27" s="118">
        <f>[4]STA_SP2_NO!$K$30</f>
        <v>0</v>
      </c>
      <c r="G27" s="143">
        <f>[5]STA_SP2_NO!$K$30</f>
        <v>16</v>
      </c>
      <c r="H27" s="118">
        <f>[6]STA_SP2_NO!$K$30</f>
        <v>69.430000000000007</v>
      </c>
      <c r="I27" s="143">
        <f>[7]STA_SP2_NO!$K$30</f>
        <v>0</v>
      </c>
      <c r="J27" s="118">
        <f>[8]STA_SP2_NO!$K$30</f>
        <v>0</v>
      </c>
      <c r="K27" s="143">
        <f>[9]STA_SP2_NO!$K$30</f>
        <v>0</v>
      </c>
      <c r="L27" s="385">
        <f>[10]STA_SP2_NO!$K$30</f>
        <v>0</v>
      </c>
      <c r="M27" s="392">
        <f>[11]STA_SP2_NO!$K$30</f>
        <v>0</v>
      </c>
      <c r="N27" s="395">
        <f t="shared" si="3"/>
        <v>85.43</v>
      </c>
    </row>
    <row r="28" spans="1:15" x14ac:dyDescent="0.25">
      <c r="A28" s="32">
        <v>7</v>
      </c>
      <c r="B28" s="33" t="s">
        <v>45</v>
      </c>
      <c r="C28" s="62">
        <f>[1]STA_SP2_NO!$K$31</f>
        <v>478.84</v>
      </c>
      <c r="D28" s="118">
        <f>[2]STA_SP2_NO!$K$31</f>
        <v>840.37</v>
      </c>
      <c r="E28" s="61">
        <f>[3]STA_SP2_NO!$K$31</f>
        <v>196</v>
      </c>
      <c r="F28" s="118">
        <f>[4]STA_SP2_NO!$K$31</f>
        <v>0</v>
      </c>
      <c r="G28" s="143">
        <f>[5]STA_SP2_NO!$K$31</f>
        <v>60</v>
      </c>
      <c r="H28" s="118">
        <f>[6]STA_SP2_NO!$K$31</f>
        <v>439.9</v>
      </c>
      <c r="I28" s="143">
        <f>[7]STA_SP2_NO!$K$31</f>
        <v>1904</v>
      </c>
      <c r="J28" s="118">
        <f>[8]STA_SP2_NO!$K$31</f>
        <v>96</v>
      </c>
      <c r="K28" s="143">
        <f>[9]STA_SP2_NO!$K$31</f>
        <v>0</v>
      </c>
      <c r="L28" s="385">
        <f>[10]STA_SP2_NO!$K$31</f>
        <v>0</v>
      </c>
      <c r="M28" s="392">
        <f>[11]STA_SP2_NO!$K$31</f>
        <v>0</v>
      </c>
      <c r="N28" s="395">
        <f t="shared" si="3"/>
        <v>4015.11</v>
      </c>
    </row>
    <row r="29" spans="1:15" ht="15.75" thickBot="1" x14ac:dyDescent="0.3">
      <c r="A29" s="34">
        <v>8</v>
      </c>
      <c r="B29" s="35" t="s">
        <v>46</v>
      </c>
      <c r="C29" s="62">
        <f>[1]STA_SP2_NO!$K$32</f>
        <v>0</v>
      </c>
      <c r="D29" s="118">
        <f>[2]STA_SP2_NO!$K$32</f>
        <v>0</v>
      </c>
      <c r="E29" s="61">
        <f>[3]STA_SP2_NO!$K$32</f>
        <v>0</v>
      </c>
      <c r="F29" s="118">
        <f>[4]STA_SP2_NO!$K$32</f>
        <v>0</v>
      </c>
      <c r="G29" s="143">
        <f>[5]STA_SP2_NO!$K$32</f>
        <v>0</v>
      </c>
      <c r="H29" s="118">
        <f>[6]STA_SP2_NO!$K$32</f>
        <v>0</v>
      </c>
      <c r="I29" s="143">
        <f>[7]STA_SP2_NO!$K$32</f>
        <v>0</v>
      </c>
      <c r="J29" s="118">
        <f>[8]STA_SP2_NO!$K$32</f>
        <v>0</v>
      </c>
      <c r="K29" s="143">
        <f>[9]STA_SP2_NO!$K$32</f>
        <v>0</v>
      </c>
      <c r="L29" s="385">
        <f>[10]STA_SP2_NO!$K$32</f>
        <v>0</v>
      </c>
      <c r="M29" s="392">
        <f>[11]STA_SP2_NO!$K$32</f>
        <v>0</v>
      </c>
      <c r="N29" s="395">
        <f t="shared" si="3"/>
        <v>0</v>
      </c>
    </row>
    <row r="30" spans="1:15" ht="15.75" thickBot="1" x14ac:dyDescent="0.3">
      <c r="A30" s="57"/>
      <c r="B30" s="37" t="s">
        <v>3</v>
      </c>
      <c r="C30" s="122">
        <f>SUM(C22:C28)</f>
        <v>42185.919999999998</v>
      </c>
      <c r="D30" s="51">
        <f t="shared" ref="D30:E30" si="4">SUM(D22:D29)</f>
        <v>39791.75</v>
      </c>
      <c r="E30" s="41">
        <f t="shared" si="4"/>
        <v>18555</v>
      </c>
      <c r="F30" s="51">
        <f t="shared" ref="F30:M30" si="5">SUM(F22:F29)</f>
        <v>32810.700000000004</v>
      </c>
      <c r="G30" s="40">
        <f t="shared" si="5"/>
        <v>20166</v>
      </c>
      <c r="H30" s="39">
        <f t="shared" si="5"/>
        <v>22557.14</v>
      </c>
      <c r="I30" s="40">
        <f t="shared" si="5"/>
        <v>31011</v>
      </c>
      <c r="J30" s="39">
        <f t="shared" si="5"/>
        <v>22435</v>
      </c>
      <c r="K30" s="40">
        <f t="shared" si="5"/>
        <v>36754.730000000003</v>
      </c>
      <c r="L30" s="336">
        <f t="shared" si="5"/>
        <v>18430</v>
      </c>
      <c r="M30" s="394">
        <f t="shared" si="5"/>
        <v>358.40999999999997</v>
      </c>
      <c r="N30" s="232">
        <f>SUM(C30:M30)</f>
        <v>285055.64999999997</v>
      </c>
    </row>
    <row r="31" spans="1:15" ht="15.75" thickBot="1" x14ac:dyDescent="0.3">
      <c r="A31" s="1"/>
      <c r="B31" s="1"/>
      <c r="C31" s="1"/>
      <c r="D31" s="1"/>
      <c r="E31" s="1"/>
      <c r="F31" s="1"/>
      <c r="G31" s="339"/>
      <c r="H31" s="1"/>
      <c r="I31" s="339"/>
      <c r="J31" s="1"/>
      <c r="K31" s="339"/>
      <c r="L31" s="1"/>
      <c r="M31" s="346"/>
      <c r="N31" s="1"/>
    </row>
    <row r="32" spans="1:15" ht="15.75" thickBot="1" x14ac:dyDescent="0.3">
      <c r="A32" s="538" t="s">
        <v>53</v>
      </c>
      <c r="B32" s="539"/>
      <c r="C32" s="72">
        <f>C30/N30</f>
        <v>0.14799187456905347</v>
      </c>
      <c r="D32" s="71">
        <f>D30/N30</f>
        <v>0.13959291808459157</v>
      </c>
      <c r="E32" s="72">
        <f>E30/N30</f>
        <v>6.5092552980444349E-2</v>
      </c>
      <c r="F32" s="47">
        <f>F30/N30</f>
        <v>0.11510278782406175</v>
      </c>
      <c r="G32" s="48">
        <f>G30/N30</f>
        <v>7.0744081024178965E-2</v>
      </c>
      <c r="H32" s="396">
        <f>H30/N30</f>
        <v>7.913240800524389E-2</v>
      </c>
      <c r="I32" s="48">
        <f>I30/N30</f>
        <v>0.10878928377669414</v>
      </c>
      <c r="J32" s="396">
        <f>J30/N30</f>
        <v>7.8703930267651254E-2</v>
      </c>
      <c r="K32" s="48">
        <f>K30/N30</f>
        <v>0.12893878791737687</v>
      </c>
      <c r="L32" s="397">
        <f>L30/N30</f>
        <v>6.4654042114232785E-2</v>
      </c>
      <c r="M32" s="340">
        <f>M30/N30</f>
        <v>1.2573334364710891E-3</v>
      </c>
      <c r="N32" s="256">
        <f>SUM(C32:M32)</f>
        <v>1.0000000000000002</v>
      </c>
    </row>
  </sheetData>
  <mergeCells count="34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  <mergeCell ref="A16:B16"/>
    <mergeCell ref="C1:K1"/>
    <mergeCell ref="A2:A4"/>
    <mergeCell ref="B2:B4"/>
    <mergeCell ref="H3:H4"/>
    <mergeCell ref="I3:I4"/>
    <mergeCell ref="J3:J4"/>
    <mergeCell ref="K3:K4"/>
    <mergeCell ref="C2:M2"/>
    <mergeCell ref="N19:N21"/>
    <mergeCell ref="C20:C21"/>
    <mergeCell ref="D20:D21"/>
    <mergeCell ref="E20:E21"/>
    <mergeCell ref="N2:N4"/>
    <mergeCell ref="C3:C4"/>
    <mergeCell ref="D3:D4"/>
    <mergeCell ref="E3:E4"/>
    <mergeCell ref="F3:F4"/>
    <mergeCell ref="G3:G4"/>
    <mergeCell ref="L3:L4"/>
    <mergeCell ref="K20:K21"/>
    <mergeCell ref="L20:L21"/>
    <mergeCell ref="M3:M4"/>
    <mergeCell ref="M20:M21"/>
  </mergeCells>
  <pageMargins left="0.25" right="0.25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Q26" sqref="Q26"/>
    </sheetView>
  </sheetViews>
  <sheetFormatPr defaultRowHeight="15" x14ac:dyDescent="0.25"/>
  <cols>
    <col min="1" max="1" width="3.7109375" style="1" customWidth="1"/>
    <col min="2" max="2" width="22.5703125" customWidth="1"/>
  </cols>
  <sheetData>
    <row r="1" spans="1:15" ht="30" customHeight="1" thickBot="1" x14ac:dyDescent="0.3">
      <c r="B1" s="26"/>
      <c r="C1" s="458" t="s">
        <v>114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52"/>
    </row>
    <row r="2" spans="1:15" ht="15.75" thickBot="1" x14ac:dyDescent="0.3">
      <c r="A2" s="461" t="s">
        <v>0</v>
      </c>
      <c r="B2" s="463" t="s">
        <v>1</v>
      </c>
      <c r="C2" s="483" t="s">
        <v>2</v>
      </c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8" t="s">
        <v>3</v>
      </c>
    </row>
    <row r="3" spans="1:15" x14ac:dyDescent="0.25">
      <c r="A3" s="501"/>
      <c r="B3" s="502"/>
      <c r="C3" s="508" t="s">
        <v>69</v>
      </c>
      <c r="D3" s="502" t="s">
        <v>4</v>
      </c>
      <c r="E3" s="512" t="s">
        <v>5</v>
      </c>
      <c r="F3" s="463" t="s">
        <v>6</v>
      </c>
      <c r="G3" s="497" t="s">
        <v>8</v>
      </c>
      <c r="H3" s="463" t="s">
        <v>94</v>
      </c>
      <c r="I3" s="495" t="s">
        <v>9</v>
      </c>
      <c r="J3" s="505" t="s">
        <v>10</v>
      </c>
      <c r="K3" s="495" t="s">
        <v>93</v>
      </c>
      <c r="L3" s="463" t="s">
        <v>11</v>
      </c>
      <c r="M3" s="524" t="s">
        <v>96</v>
      </c>
      <c r="N3" s="534"/>
    </row>
    <row r="4" spans="1:15" ht="15.75" thickBot="1" x14ac:dyDescent="0.3">
      <c r="A4" s="496"/>
      <c r="B4" s="503"/>
      <c r="C4" s="510"/>
      <c r="D4" s="496"/>
      <c r="E4" s="496"/>
      <c r="F4" s="496"/>
      <c r="G4" s="498"/>
      <c r="H4" s="464"/>
      <c r="I4" s="504"/>
      <c r="J4" s="506"/>
      <c r="K4" s="504"/>
      <c r="L4" s="464"/>
      <c r="M4" s="525"/>
      <c r="N4" s="535"/>
    </row>
    <row r="5" spans="1:15" x14ac:dyDescent="0.25">
      <c r="A5" s="30">
        <v>1</v>
      </c>
      <c r="B5" s="31" t="s">
        <v>39</v>
      </c>
      <c r="C5" s="62">
        <f>[1]STA_SP2_NO!$J$34</f>
        <v>3</v>
      </c>
      <c r="D5" s="118">
        <f>[2]STA_SP2_NO!$J$34</f>
        <v>1</v>
      </c>
      <c r="E5" s="61">
        <f>[3]STA_SP2_NO!$J$34</f>
        <v>10</v>
      </c>
      <c r="F5" s="118">
        <f>[4]STA_SP2_NO!$J$34</f>
        <v>1</v>
      </c>
      <c r="G5" s="143">
        <f>[5]STA_SP2_NO!$J$34</f>
        <v>0</v>
      </c>
      <c r="H5" s="118">
        <f>[6]STA_SP2_NO!$J$34</f>
        <v>0</v>
      </c>
      <c r="I5" s="143">
        <f>[7]STA_SP2_NO!$J$34</f>
        <v>0</v>
      </c>
      <c r="J5" s="118">
        <f>[8]STA_SP2_NO!$J$34</f>
        <v>1</v>
      </c>
      <c r="K5" s="143">
        <f>[9]STA_SP2_NO!$J$34</f>
        <v>2</v>
      </c>
      <c r="L5" s="385">
        <f>[10]STA_SP2_NO!$J$34</f>
        <v>0</v>
      </c>
      <c r="M5" s="392">
        <f>[11]STA_SP2_NO!$J$34</f>
        <v>0</v>
      </c>
      <c r="N5" s="395">
        <f t="shared" ref="N5:N12" si="0">SUM(C5:M5)</f>
        <v>18</v>
      </c>
    </row>
    <row r="6" spans="1:15" x14ac:dyDescent="0.25">
      <c r="A6" s="32">
        <v>2</v>
      </c>
      <c r="B6" s="33" t="s">
        <v>40</v>
      </c>
      <c r="C6" s="62">
        <f>[1]STA_SP2_NO!$J$35</f>
        <v>0</v>
      </c>
      <c r="D6" s="118">
        <f>[2]STA_SP2_NO!$J$35</f>
        <v>0</v>
      </c>
      <c r="E6" s="61">
        <f>[3]STA_SP2_NO!$J$35</f>
        <v>1</v>
      </c>
      <c r="F6" s="118">
        <f>[4]STA_SP2_NO!$J$35</f>
        <v>0</v>
      </c>
      <c r="G6" s="143">
        <f>[5]STA_SP2_NO!$J$35</f>
        <v>0</v>
      </c>
      <c r="H6" s="118">
        <f>[6]STA_SP2_NO!$J$35</f>
        <v>0</v>
      </c>
      <c r="I6" s="143">
        <f>[7]STA_SP2_NO!$J$35</f>
        <v>0</v>
      </c>
      <c r="J6" s="118">
        <f>[8]STA_SP2_NO!$J$35</f>
        <v>0</v>
      </c>
      <c r="K6" s="143">
        <f>[9]STA_SP2_NO!$J$35</f>
        <v>0</v>
      </c>
      <c r="L6" s="385">
        <f>[10]STA_SP2_NO!$J$35</f>
        <v>0</v>
      </c>
      <c r="M6" s="392">
        <f>[11]STA_SP2_NO!$J$35</f>
        <v>0</v>
      </c>
      <c r="N6" s="395">
        <f t="shared" si="0"/>
        <v>1</v>
      </c>
    </row>
    <row r="7" spans="1:15" x14ac:dyDescent="0.25">
      <c r="A7" s="32">
        <v>3</v>
      </c>
      <c r="B7" s="33" t="s">
        <v>41</v>
      </c>
      <c r="C7" s="62">
        <f>[1]STA_SP2_NO!$J$36</f>
        <v>0</v>
      </c>
      <c r="D7" s="118">
        <f>[2]STA_SP2_NO!$J$36</f>
        <v>0</v>
      </c>
      <c r="E7" s="61">
        <f>[3]STA_SP2_NO!$J$36</f>
        <v>0</v>
      </c>
      <c r="F7" s="118">
        <f>[4]STA_SP2_NO!$J$36</f>
        <v>0</v>
      </c>
      <c r="G7" s="143">
        <f>[5]STA_SP2_NO!$J$36</f>
        <v>0</v>
      </c>
      <c r="H7" s="118">
        <f>[6]STA_SP2_NO!$J$36</f>
        <v>0</v>
      </c>
      <c r="I7" s="143">
        <f>[7]STA_SP2_NO!$J$36</f>
        <v>0</v>
      </c>
      <c r="J7" s="118">
        <f>[8]STA_SP2_NO!$J$36</f>
        <v>0</v>
      </c>
      <c r="K7" s="143">
        <f>[9]STA_SP2_NO!$J$36</f>
        <v>0</v>
      </c>
      <c r="L7" s="385">
        <f>[10]STA_SP2_NO!$J$36</f>
        <v>0</v>
      </c>
      <c r="M7" s="392">
        <f>[11]STA_SP2_NO!$J$36</f>
        <v>0</v>
      </c>
      <c r="N7" s="395">
        <f t="shared" si="0"/>
        <v>0</v>
      </c>
    </row>
    <row r="8" spans="1:15" x14ac:dyDescent="0.25">
      <c r="A8" s="32">
        <v>4</v>
      </c>
      <c r="B8" s="33" t="s">
        <v>42</v>
      </c>
      <c r="C8" s="62">
        <f>[1]STA_SP2_NO!$J$37</f>
        <v>0</v>
      </c>
      <c r="D8" s="118">
        <f>[2]STA_SP2_NO!$J$37</f>
        <v>0</v>
      </c>
      <c r="E8" s="61">
        <f>[3]STA_SP2_NO!$J$37</f>
        <v>0</v>
      </c>
      <c r="F8" s="118">
        <f>[4]STA_SP2_NO!$J$37</f>
        <v>0</v>
      </c>
      <c r="G8" s="143">
        <f>[5]STA_SP2_NO!$J$37</f>
        <v>0</v>
      </c>
      <c r="H8" s="118">
        <f>[6]STA_SP2_NO!$J$37</f>
        <v>0</v>
      </c>
      <c r="I8" s="143">
        <f>[7]STA_SP2_NO!$J$37</f>
        <v>0</v>
      </c>
      <c r="J8" s="118">
        <f>[8]STA_SP2_NO!$J$37</f>
        <v>0</v>
      </c>
      <c r="K8" s="143">
        <f>[9]STA_SP2_NO!$J$37</f>
        <v>0</v>
      </c>
      <c r="L8" s="385">
        <f>[10]STA_SP2_NO!$J$37</f>
        <v>0</v>
      </c>
      <c r="M8" s="392">
        <f>[11]STA_SP2_NO!$J$37</f>
        <v>0</v>
      </c>
      <c r="N8" s="395">
        <f t="shared" si="0"/>
        <v>0</v>
      </c>
    </row>
    <row r="9" spans="1:15" x14ac:dyDescent="0.25">
      <c r="A9" s="32">
        <v>5</v>
      </c>
      <c r="B9" s="33" t="s">
        <v>43</v>
      </c>
      <c r="C9" s="62">
        <f>[1]STA_SP2_NO!$J$38</f>
        <v>0</v>
      </c>
      <c r="D9" s="118">
        <f>[2]STA_SP2_NO!$J$38</f>
        <v>0</v>
      </c>
      <c r="E9" s="61">
        <f>[3]STA_SP2_NO!$J$38</f>
        <v>0</v>
      </c>
      <c r="F9" s="118">
        <f>[4]STA_SP2_NO!$J$38</f>
        <v>0</v>
      </c>
      <c r="G9" s="143">
        <f>[5]STA_SP2_NO!$J$38</f>
        <v>0</v>
      </c>
      <c r="H9" s="118">
        <f>[6]STA_SP2_NO!$J$38</f>
        <v>0</v>
      </c>
      <c r="I9" s="143">
        <f>[7]STA_SP2_NO!$J$38</f>
        <v>0</v>
      </c>
      <c r="J9" s="118">
        <f>[8]STA_SP2_NO!$J$38</f>
        <v>0</v>
      </c>
      <c r="K9" s="143">
        <f>[9]STA_SP2_NO!$J$38</f>
        <v>0</v>
      </c>
      <c r="L9" s="385">
        <f>[10]STA_SP2_NO!$J$38</f>
        <v>0</v>
      </c>
      <c r="M9" s="392">
        <f>[11]STA_SP2_NO!$J$38</f>
        <v>0</v>
      </c>
      <c r="N9" s="395">
        <f t="shared" si="0"/>
        <v>0</v>
      </c>
    </row>
    <row r="10" spans="1:15" x14ac:dyDescent="0.25">
      <c r="A10" s="32">
        <v>6</v>
      </c>
      <c r="B10" s="33" t="s">
        <v>44</v>
      </c>
      <c r="C10" s="62">
        <f>[1]STA_SP2_NO!$J$39</f>
        <v>0</v>
      </c>
      <c r="D10" s="118">
        <f>[2]STA_SP2_NO!$J$39</f>
        <v>0</v>
      </c>
      <c r="E10" s="61">
        <f>[3]STA_SP2_NO!$J$39</f>
        <v>0</v>
      </c>
      <c r="F10" s="118">
        <f>[4]STA_SP2_NO!$J$39</f>
        <v>0</v>
      </c>
      <c r="G10" s="143">
        <f>[5]STA_SP2_NO!$J$39</f>
        <v>0</v>
      </c>
      <c r="H10" s="118">
        <f>[6]STA_SP2_NO!$J$39</f>
        <v>0</v>
      </c>
      <c r="I10" s="143">
        <f>[7]STA_SP2_NO!$J$39</f>
        <v>0</v>
      </c>
      <c r="J10" s="118">
        <f>[8]STA_SP2_NO!$J$39</f>
        <v>0</v>
      </c>
      <c r="K10" s="143">
        <f>[9]STA_SP2_NO!$J$39</f>
        <v>0</v>
      </c>
      <c r="L10" s="385">
        <f>[10]STA_SP2_NO!$J$39</f>
        <v>0</v>
      </c>
      <c r="M10" s="392">
        <f>[11]STA_SP2_NO!$J$39</f>
        <v>0</v>
      </c>
      <c r="N10" s="395">
        <f t="shared" si="0"/>
        <v>0</v>
      </c>
    </row>
    <row r="11" spans="1:15" x14ac:dyDescent="0.25">
      <c r="A11" s="32">
        <v>7</v>
      </c>
      <c r="B11" s="33" t="s">
        <v>45</v>
      </c>
      <c r="C11" s="62">
        <f>[1]STA_SP2_NO!$J$40</f>
        <v>0</v>
      </c>
      <c r="D11" s="118">
        <f>[2]STA_SP2_NO!$J$40</f>
        <v>0</v>
      </c>
      <c r="E11" s="61">
        <f>[3]STA_SP2_NO!$J$40</f>
        <v>0</v>
      </c>
      <c r="F11" s="118">
        <f>[4]STA_SP2_NO!$J$40</f>
        <v>0</v>
      </c>
      <c r="G11" s="143">
        <f>[5]STA_SP2_NO!$J$40</f>
        <v>0</v>
      </c>
      <c r="H11" s="118">
        <f>[6]STA_SP2_NO!$J$40</f>
        <v>0</v>
      </c>
      <c r="I11" s="143">
        <f>[7]STA_SP2_NO!$J$40</f>
        <v>0</v>
      </c>
      <c r="J11" s="118">
        <f>[8]STA_SP2_NO!$J$40</f>
        <v>0</v>
      </c>
      <c r="K11" s="143">
        <f>[9]STA_SP2_NO!$J$40</f>
        <v>0</v>
      </c>
      <c r="L11" s="385">
        <f>[10]STA_SP2_NO!$J$40</f>
        <v>0</v>
      </c>
      <c r="M11" s="392">
        <f>[11]STA_SP2_NO!$J$40</f>
        <v>0</v>
      </c>
      <c r="N11" s="395">
        <f t="shared" si="0"/>
        <v>0</v>
      </c>
    </row>
    <row r="12" spans="1:15" ht="15.75" thickBot="1" x14ac:dyDescent="0.3">
      <c r="A12" s="34">
        <v>8</v>
      </c>
      <c r="B12" s="35" t="s">
        <v>46</v>
      </c>
      <c r="C12" s="62">
        <f>[1]STA_SP2_NO!$J$41</f>
        <v>0</v>
      </c>
      <c r="D12" s="118">
        <f>[2]STA_SP2_NO!$J$41</f>
        <v>0</v>
      </c>
      <c r="E12" s="61">
        <f>[3]STA_SP2_NO!$J$41</f>
        <v>0</v>
      </c>
      <c r="F12" s="118">
        <f>[4]STA_SP2_NO!$J$41</f>
        <v>0</v>
      </c>
      <c r="G12" s="143">
        <f>[5]STA_SP2_NO!$J$41</f>
        <v>0</v>
      </c>
      <c r="H12" s="118">
        <f>[6]STA_SP2_NO!$J$41</f>
        <v>0</v>
      </c>
      <c r="I12" s="143">
        <f>[7]STA_SP2_NO!$J$41</f>
        <v>0</v>
      </c>
      <c r="J12" s="118">
        <f>[8]STA_SP2_NO!$J$41</f>
        <v>0</v>
      </c>
      <c r="K12" s="143">
        <f>[9]STA_SP2_NO!$J$41</f>
        <v>0</v>
      </c>
      <c r="L12" s="385">
        <f>[10]STA_SP2_NO!$J$41</f>
        <v>0</v>
      </c>
      <c r="M12" s="392">
        <f>[11]STA_SP2_NO!$J$41</f>
        <v>0</v>
      </c>
      <c r="N12" s="395">
        <f t="shared" si="0"/>
        <v>0</v>
      </c>
    </row>
    <row r="13" spans="1:15" ht="15.75" thickBot="1" x14ac:dyDescent="0.3">
      <c r="A13" s="57"/>
      <c r="B13" s="37" t="s">
        <v>30</v>
      </c>
      <c r="C13" s="122">
        <f t="shared" ref="C13:F13" si="1">SUM(C5:C12)</f>
        <v>3</v>
      </c>
      <c r="D13" s="39">
        <f t="shared" si="1"/>
        <v>1</v>
      </c>
      <c r="E13" s="41">
        <f t="shared" si="1"/>
        <v>11</v>
      </c>
      <c r="F13" s="39">
        <f t="shared" si="1"/>
        <v>1</v>
      </c>
      <c r="G13" s="40">
        <f t="shared" ref="G13:N13" si="2">SUM(G5:G12)</f>
        <v>0</v>
      </c>
      <c r="H13" s="39">
        <f t="shared" si="2"/>
        <v>0</v>
      </c>
      <c r="I13" s="40">
        <f t="shared" si="2"/>
        <v>0</v>
      </c>
      <c r="J13" s="39">
        <f t="shared" si="2"/>
        <v>1</v>
      </c>
      <c r="K13" s="40">
        <f t="shared" si="2"/>
        <v>2</v>
      </c>
      <c r="L13" s="378">
        <f t="shared" si="2"/>
        <v>0</v>
      </c>
      <c r="M13" s="398">
        <f t="shared" si="2"/>
        <v>0</v>
      </c>
      <c r="N13" s="232">
        <f t="shared" si="2"/>
        <v>19</v>
      </c>
    </row>
    <row r="14" spans="1:15" ht="15.75" thickBot="1" x14ac:dyDescent="0.3">
      <c r="B14" s="1"/>
      <c r="C14" s="1"/>
      <c r="D14" s="1"/>
      <c r="E14" s="1"/>
      <c r="F14" s="1"/>
      <c r="G14" s="339"/>
      <c r="H14" s="1"/>
      <c r="I14" s="339"/>
      <c r="J14" s="1"/>
      <c r="K14" s="339"/>
      <c r="L14" s="1"/>
      <c r="M14" s="346"/>
      <c r="N14" s="1"/>
    </row>
    <row r="15" spans="1:15" ht="15.75" thickBot="1" x14ac:dyDescent="0.3">
      <c r="A15" s="540" t="s">
        <v>53</v>
      </c>
      <c r="B15" s="541"/>
      <c r="C15" s="72">
        <f>C13/N13</f>
        <v>0.15789473684210525</v>
      </c>
      <c r="D15" s="71">
        <f>D13/N13</f>
        <v>5.2631578947368418E-2</v>
      </c>
      <c r="E15" s="70">
        <f>E13/N13</f>
        <v>0.57894736842105265</v>
      </c>
      <c r="F15" s="47">
        <f>F13/N13</f>
        <v>5.2631578947368418E-2</v>
      </c>
      <c r="G15" s="48">
        <f>G13/N13</f>
        <v>0</v>
      </c>
      <c r="H15" s="56">
        <f>H13/N13</f>
        <v>0</v>
      </c>
      <c r="I15" s="48">
        <f>I13/N13</f>
        <v>0</v>
      </c>
      <c r="J15" s="56">
        <f>J13/N13</f>
        <v>5.2631578947368418E-2</v>
      </c>
      <c r="K15" s="48">
        <f>K13/N13</f>
        <v>0.10526315789473684</v>
      </c>
      <c r="L15" s="56">
        <f>L13/N13</f>
        <v>0</v>
      </c>
      <c r="M15" s="340">
        <f>M13/N13</f>
        <v>0</v>
      </c>
      <c r="N15" s="249">
        <f>SUM(C15:M15)</f>
        <v>0.99999999999999989</v>
      </c>
    </row>
    <row r="16" spans="1:1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B17" s="26"/>
      <c r="C17" s="458" t="s">
        <v>115</v>
      </c>
      <c r="D17" s="459"/>
      <c r="E17" s="459"/>
      <c r="F17" s="459"/>
      <c r="G17" s="459"/>
      <c r="H17" s="459"/>
      <c r="I17" s="459"/>
      <c r="J17" s="460"/>
      <c r="K17" s="460"/>
      <c r="L17" s="26"/>
      <c r="M17" s="26"/>
      <c r="N17" s="155" t="s">
        <v>36</v>
      </c>
    </row>
    <row r="18" spans="1:14" ht="15.75" thickBot="1" x14ac:dyDescent="0.3">
      <c r="A18" s="461" t="s">
        <v>0</v>
      </c>
      <c r="B18" s="463" t="s">
        <v>1</v>
      </c>
      <c r="C18" s="483" t="s">
        <v>2</v>
      </c>
      <c r="D18" s="484"/>
      <c r="E18" s="484"/>
      <c r="F18" s="484"/>
      <c r="G18" s="484"/>
      <c r="H18" s="484"/>
      <c r="I18" s="484"/>
      <c r="J18" s="484"/>
      <c r="K18" s="484"/>
      <c r="L18" s="484"/>
      <c r="M18" s="485"/>
      <c r="N18" s="488" t="s">
        <v>3</v>
      </c>
    </row>
    <row r="19" spans="1:14" x14ac:dyDescent="0.25">
      <c r="A19" s="501"/>
      <c r="B19" s="502"/>
      <c r="C19" s="508" t="s">
        <v>69</v>
      </c>
      <c r="D19" s="502" t="s">
        <v>4</v>
      </c>
      <c r="E19" s="512" t="s">
        <v>5</v>
      </c>
      <c r="F19" s="463" t="s">
        <v>6</v>
      </c>
      <c r="G19" s="495" t="s">
        <v>8</v>
      </c>
      <c r="H19" s="463" t="s">
        <v>94</v>
      </c>
      <c r="I19" s="495" t="s">
        <v>9</v>
      </c>
      <c r="J19" s="505" t="s">
        <v>10</v>
      </c>
      <c r="K19" s="495" t="s">
        <v>93</v>
      </c>
      <c r="L19" s="463" t="s">
        <v>11</v>
      </c>
      <c r="M19" s="524" t="s">
        <v>96</v>
      </c>
      <c r="N19" s="534"/>
    </row>
    <row r="20" spans="1:14" ht="15.75" thickBot="1" x14ac:dyDescent="0.3">
      <c r="A20" s="496"/>
      <c r="B20" s="503"/>
      <c r="C20" s="510"/>
      <c r="D20" s="496"/>
      <c r="E20" s="496"/>
      <c r="F20" s="496"/>
      <c r="G20" s="504"/>
      <c r="H20" s="464"/>
      <c r="I20" s="504"/>
      <c r="J20" s="506"/>
      <c r="K20" s="504"/>
      <c r="L20" s="464"/>
      <c r="M20" s="525"/>
      <c r="N20" s="535"/>
    </row>
    <row r="21" spans="1:14" x14ac:dyDescent="0.25">
      <c r="A21" s="30">
        <v>1</v>
      </c>
      <c r="B21" s="31" t="s">
        <v>39</v>
      </c>
      <c r="C21" s="62">
        <f>[1]STA_SP2_NO!$K$34</f>
        <v>312.89999999999998</v>
      </c>
      <c r="D21" s="118">
        <f>[2]STA_SP2_NO!$K$34</f>
        <v>167.71</v>
      </c>
      <c r="E21" s="61">
        <f>[3]STA_SP2_NO!$K$34</f>
        <v>8851</v>
      </c>
      <c r="F21" s="118">
        <f>[4]STA_SP2_NO!$K$34</f>
        <v>148.16</v>
      </c>
      <c r="G21" s="143">
        <f>[5]STA_SP2_NO!$K$34</f>
        <v>0</v>
      </c>
      <c r="H21" s="118">
        <f>[6]STA_SP2_NO!$K$34</f>
        <v>0</v>
      </c>
      <c r="I21" s="143">
        <f>[7]STA_SP2_NO!$K$34</f>
        <v>0</v>
      </c>
      <c r="J21" s="118">
        <f>[8]STA_SP2_NO!$K$34</f>
        <v>15</v>
      </c>
      <c r="K21" s="143">
        <f>[9]STA_SP2_NO!$K$34</f>
        <v>312.72000000000003</v>
      </c>
      <c r="L21" s="385">
        <f>[10]STA_SP2_NO!$K$34</f>
        <v>0</v>
      </c>
      <c r="M21" s="392">
        <f>[11]STA_SP2_NO!$K$34</f>
        <v>0</v>
      </c>
      <c r="N21" s="395">
        <f t="shared" ref="N21:N28" si="3">SUM(C21:M21)</f>
        <v>9807.49</v>
      </c>
    </row>
    <row r="22" spans="1:14" x14ac:dyDescent="0.25">
      <c r="A22" s="32">
        <v>2</v>
      </c>
      <c r="B22" s="33" t="s">
        <v>40</v>
      </c>
      <c r="C22" s="62">
        <f>[1]STA_SP2_NO!$K$35</f>
        <v>0</v>
      </c>
      <c r="D22" s="118">
        <f>[2]STA_SP2_NO!$K$35</f>
        <v>0</v>
      </c>
      <c r="E22" s="61">
        <f>[3]STA_SP2_NO!$K$35</f>
        <v>55</v>
      </c>
      <c r="F22" s="118">
        <f>[4]STA_SP2_NO!$K$35</f>
        <v>0</v>
      </c>
      <c r="G22" s="143">
        <f>[5]STA_SP2_NO!$K$35</f>
        <v>0</v>
      </c>
      <c r="H22" s="118">
        <f>[6]STA_SP2_NO!$K$35</f>
        <v>0</v>
      </c>
      <c r="I22" s="143">
        <f>[7]STA_SP2_NO!$K$35</f>
        <v>0</v>
      </c>
      <c r="J22" s="118">
        <f>[8]STA_SP2_NO!$K$35</f>
        <v>0</v>
      </c>
      <c r="K22" s="143">
        <f>[9]STA_SP2_NO!$K$35</f>
        <v>0</v>
      </c>
      <c r="L22" s="385">
        <f>[10]STA_SP2_NO!$K$35</f>
        <v>0</v>
      </c>
      <c r="M22" s="392">
        <f>[11]STA_SP2_NO!$K$35</f>
        <v>0</v>
      </c>
      <c r="N22" s="395">
        <f t="shared" si="3"/>
        <v>55</v>
      </c>
    </row>
    <row r="23" spans="1:14" x14ac:dyDescent="0.25">
      <c r="A23" s="32">
        <v>3</v>
      </c>
      <c r="B23" s="33" t="s">
        <v>41</v>
      </c>
      <c r="C23" s="62">
        <f>[1]STA_SP2_NO!$K$36</f>
        <v>0</v>
      </c>
      <c r="D23" s="118">
        <f>[2]STA_SP2_NO!$K$36</f>
        <v>0</v>
      </c>
      <c r="E23" s="61">
        <f>[3]STA_SP2_NO!$K$36</f>
        <v>0</v>
      </c>
      <c r="F23" s="118">
        <f>[4]STA_SP2_NO!$K$36</f>
        <v>0</v>
      </c>
      <c r="G23" s="143">
        <f>[5]STA_SP2_NO!$K$36</f>
        <v>0</v>
      </c>
      <c r="H23" s="118">
        <f>[6]STA_SP2_NO!$K$36</f>
        <v>0</v>
      </c>
      <c r="I23" s="143">
        <f>[7]STA_SP2_NO!$K$36</f>
        <v>0</v>
      </c>
      <c r="J23" s="118">
        <f>[8]STA_SP2_NO!$K$36</f>
        <v>0</v>
      </c>
      <c r="K23" s="143">
        <f>[9]STA_SP2_NO!$K$36</f>
        <v>0</v>
      </c>
      <c r="L23" s="385">
        <f>[10]STA_SP2_NO!$K$36</f>
        <v>0</v>
      </c>
      <c r="M23" s="392">
        <f>[11]STA_SP2_NO!$K$36</f>
        <v>0</v>
      </c>
      <c r="N23" s="395">
        <f t="shared" si="3"/>
        <v>0</v>
      </c>
    </row>
    <row r="24" spans="1:14" x14ac:dyDescent="0.25">
      <c r="A24" s="32">
        <v>4</v>
      </c>
      <c r="B24" s="33" t="s">
        <v>42</v>
      </c>
      <c r="C24" s="62">
        <f>[1]STA_SP2_NO!$K$37</f>
        <v>0</v>
      </c>
      <c r="D24" s="118">
        <f>[2]STA_SP2_NO!$K$37</f>
        <v>0</v>
      </c>
      <c r="E24" s="61">
        <f>[3]STA_SP2_NO!$K$37</f>
        <v>0</v>
      </c>
      <c r="F24" s="118">
        <f>[4]STA_SP2_NO!$K$37</f>
        <v>0</v>
      </c>
      <c r="G24" s="143">
        <f>[5]STA_SP2_NO!$K$37</f>
        <v>0</v>
      </c>
      <c r="H24" s="118">
        <f>[6]STA_SP2_NO!$K$37</f>
        <v>0</v>
      </c>
      <c r="I24" s="143">
        <f>[7]STA_SP2_NO!$K$37</f>
        <v>0</v>
      </c>
      <c r="J24" s="118">
        <f>[8]STA_SP2_NO!$K$37</f>
        <v>0</v>
      </c>
      <c r="K24" s="143">
        <f>[9]STA_SP2_NO!$K$37</f>
        <v>0</v>
      </c>
      <c r="L24" s="385">
        <f>[10]STA_SP2_NO!$K$37</f>
        <v>0</v>
      </c>
      <c r="M24" s="392">
        <f>[11]STA_SP2_NO!$K$37</f>
        <v>0</v>
      </c>
      <c r="N24" s="395">
        <f t="shared" si="3"/>
        <v>0</v>
      </c>
    </row>
    <row r="25" spans="1:14" x14ac:dyDescent="0.25">
      <c r="A25" s="32">
        <v>5</v>
      </c>
      <c r="B25" s="33" t="s">
        <v>43</v>
      </c>
      <c r="C25" s="62">
        <f>[1]STA_SP2_NO!$K$38</f>
        <v>0</v>
      </c>
      <c r="D25" s="118">
        <f>[2]STA_SP2_NO!$K$38</f>
        <v>0</v>
      </c>
      <c r="E25" s="61">
        <f>[3]STA_SP2_NO!$K$38</f>
        <v>0</v>
      </c>
      <c r="F25" s="118">
        <f>[4]STA_SP2_NO!$K$38</f>
        <v>0</v>
      </c>
      <c r="G25" s="143">
        <f>[5]STA_SP2_NO!$K$38</f>
        <v>0</v>
      </c>
      <c r="H25" s="118">
        <f>[6]STA_SP2_NO!$K$38</f>
        <v>0</v>
      </c>
      <c r="I25" s="143">
        <f>[7]STA_SP2_NO!$K$38</f>
        <v>0</v>
      </c>
      <c r="J25" s="118">
        <f>[8]STA_SP2_NO!$K$38</f>
        <v>0</v>
      </c>
      <c r="K25" s="143">
        <f>[9]STA_SP2_NO!$K$38</f>
        <v>0</v>
      </c>
      <c r="L25" s="385">
        <f>[10]STA_SP2_NO!$K$38</f>
        <v>0</v>
      </c>
      <c r="M25" s="392">
        <f>[11]STA_SP2_NO!$K$38</f>
        <v>0</v>
      </c>
      <c r="N25" s="395">
        <f t="shared" si="3"/>
        <v>0</v>
      </c>
    </row>
    <row r="26" spans="1:14" x14ac:dyDescent="0.25">
      <c r="A26" s="32">
        <v>6</v>
      </c>
      <c r="B26" s="33" t="s">
        <v>44</v>
      </c>
      <c r="C26" s="62">
        <f>[1]STA_SP2_NO!$K$39</f>
        <v>0</v>
      </c>
      <c r="D26" s="118">
        <f>[2]STA_SP2_NO!$K$39</f>
        <v>0</v>
      </c>
      <c r="E26" s="61">
        <f>[3]STA_SP2_NO!$K$39</f>
        <v>0</v>
      </c>
      <c r="F26" s="118">
        <f>[4]STA_SP2_NO!$K$39</f>
        <v>0</v>
      </c>
      <c r="G26" s="143">
        <f>[5]STA_SP2_NO!$K$39</f>
        <v>0</v>
      </c>
      <c r="H26" s="118">
        <f>[6]STA_SP2_NO!$K$39</f>
        <v>0</v>
      </c>
      <c r="I26" s="143">
        <f>[7]STA_SP2_NO!$K$39</f>
        <v>0</v>
      </c>
      <c r="J26" s="118">
        <f>[8]STA_SP2_NO!$K$39</f>
        <v>0</v>
      </c>
      <c r="K26" s="143">
        <f>[9]STA_SP2_NO!$K$39</f>
        <v>0</v>
      </c>
      <c r="L26" s="385">
        <f>[10]STA_SP2_NO!$K$39</f>
        <v>0</v>
      </c>
      <c r="M26" s="392">
        <f>[11]STA_SP2_NO!$K$39</f>
        <v>0</v>
      </c>
      <c r="N26" s="395">
        <f t="shared" si="3"/>
        <v>0</v>
      </c>
    </row>
    <row r="27" spans="1:14" x14ac:dyDescent="0.25">
      <c r="A27" s="32">
        <v>7</v>
      </c>
      <c r="B27" s="33" t="s">
        <v>45</v>
      </c>
      <c r="C27" s="62">
        <f>[1]STA_SP2_NO!$K$40</f>
        <v>0</v>
      </c>
      <c r="D27" s="118">
        <f>[2]STA_SP2_NO!$K$40</f>
        <v>0</v>
      </c>
      <c r="E27" s="61">
        <f>[3]STA_SP2_NO!$K$40</f>
        <v>0</v>
      </c>
      <c r="F27" s="118">
        <f>[4]STA_SP2_NO!$K$40</f>
        <v>0</v>
      </c>
      <c r="G27" s="143">
        <f>[5]STA_SP2_NO!$K$40</f>
        <v>0</v>
      </c>
      <c r="H27" s="118">
        <f>[6]STA_SP2_NO!$K$40</f>
        <v>0</v>
      </c>
      <c r="I27" s="143">
        <f>[7]STA_SP2_NO!$K$40</f>
        <v>0</v>
      </c>
      <c r="J27" s="118">
        <f>[8]STA_SP2_NO!$K$40</f>
        <v>0</v>
      </c>
      <c r="K27" s="143">
        <f>[9]STA_SP2_NO!$K$40</f>
        <v>0</v>
      </c>
      <c r="L27" s="385">
        <f>[10]STA_SP2_NO!$K$40</f>
        <v>0</v>
      </c>
      <c r="M27" s="392">
        <f>[11]STA_SP2_NO!$K$40</f>
        <v>0</v>
      </c>
      <c r="N27" s="395">
        <f t="shared" si="3"/>
        <v>0</v>
      </c>
    </row>
    <row r="28" spans="1:14" ht="15.75" thickBot="1" x14ac:dyDescent="0.3">
      <c r="A28" s="34">
        <v>8</v>
      </c>
      <c r="B28" s="35" t="s">
        <v>46</v>
      </c>
      <c r="C28" s="62">
        <f>[1]STA_SP2_NO!$K$41</f>
        <v>0</v>
      </c>
      <c r="D28" s="118">
        <f>[2]STA_SP2_NO!$K$41</f>
        <v>0</v>
      </c>
      <c r="E28" s="61">
        <f>[3]STA_SP2_NO!$K$41</f>
        <v>0</v>
      </c>
      <c r="F28" s="118">
        <f>[4]STA_SP2_NO!$K$41</f>
        <v>0</v>
      </c>
      <c r="G28" s="143">
        <f>[5]STA_SP2_NO!$K$41</f>
        <v>0</v>
      </c>
      <c r="H28" s="118">
        <f>[6]STA_SP2_NO!$K$41</f>
        <v>0</v>
      </c>
      <c r="I28" s="143">
        <f>[7]STA_SP2_NO!$K$41</f>
        <v>0</v>
      </c>
      <c r="J28" s="118">
        <f>[8]STA_SP2_NO!$K$41</f>
        <v>0</v>
      </c>
      <c r="K28" s="143">
        <f>[9]STA_SP2_NO!$K$41</f>
        <v>0</v>
      </c>
      <c r="L28" s="385">
        <f>[10]STA_SP2_NO!$K$41</f>
        <v>0</v>
      </c>
      <c r="M28" s="392">
        <f>[11]STA_SP2_NO!$K$41</f>
        <v>0</v>
      </c>
      <c r="N28" s="395">
        <f t="shared" si="3"/>
        <v>0</v>
      </c>
    </row>
    <row r="29" spans="1:14" ht="15.75" thickBot="1" x14ac:dyDescent="0.3">
      <c r="A29" s="36"/>
      <c r="B29" s="37" t="s">
        <v>37</v>
      </c>
      <c r="C29" s="73">
        <f t="shared" ref="C29:F29" si="4">SUM(C21:C28)</f>
        <v>312.89999999999998</v>
      </c>
      <c r="D29" s="39">
        <f t="shared" si="4"/>
        <v>167.71</v>
      </c>
      <c r="E29" s="73">
        <f t="shared" si="4"/>
        <v>8906</v>
      </c>
      <c r="F29" s="39">
        <f t="shared" si="4"/>
        <v>148.16</v>
      </c>
      <c r="G29" s="390">
        <f t="shared" ref="G29:N29" si="5">SUM(G21:G28)</f>
        <v>0</v>
      </c>
      <c r="H29" s="51">
        <f t="shared" si="5"/>
        <v>0</v>
      </c>
      <c r="I29" s="41">
        <f t="shared" si="5"/>
        <v>0</v>
      </c>
      <c r="J29" s="51">
        <f t="shared" si="5"/>
        <v>15</v>
      </c>
      <c r="K29" s="41">
        <f t="shared" si="5"/>
        <v>312.72000000000003</v>
      </c>
      <c r="L29" s="336">
        <f t="shared" si="5"/>
        <v>0</v>
      </c>
      <c r="M29" s="398">
        <f t="shared" si="5"/>
        <v>0</v>
      </c>
      <c r="N29" s="232">
        <f t="shared" si="5"/>
        <v>9862.49</v>
      </c>
    </row>
    <row r="30" spans="1:14" ht="15.75" thickBot="1" x14ac:dyDescent="0.3">
      <c r="B30" s="1"/>
      <c r="C30" s="1"/>
      <c r="D30" s="1"/>
      <c r="E30" s="1"/>
      <c r="F30" s="1"/>
      <c r="G30" s="339"/>
      <c r="H30" s="1"/>
      <c r="I30" s="339"/>
      <c r="J30" s="1"/>
      <c r="K30" s="339"/>
      <c r="L30" s="1"/>
      <c r="M30" s="346"/>
      <c r="N30" s="1"/>
    </row>
    <row r="31" spans="1:14" ht="15.75" thickBot="1" x14ac:dyDescent="0.3">
      <c r="A31" s="540" t="s">
        <v>53</v>
      </c>
      <c r="B31" s="541"/>
      <c r="C31" s="70">
        <f>C29/N29</f>
        <v>3.1726267910030831E-2</v>
      </c>
      <c r="D31" s="71">
        <f>D29/N29</f>
        <v>1.7004833464976898E-2</v>
      </c>
      <c r="E31" s="70">
        <f>E29/N29</f>
        <v>0.90301739215958654</v>
      </c>
      <c r="F31" s="71">
        <f>F29/N29</f>
        <v>1.502257543480399E-2</v>
      </c>
      <c r="G31" s="55">
        <f>G29/N29</f>
        <v>0</v>
      </c>
      <c r="H31" s="56">
        <f>H29/N29</f>
        <v>0</v>
      </c>
      <c r="I31" s="55">
        <f>I29/N29</f>
        <v>0</v>
      </c>
      <c r="J31" s="56">
        <f>J29/N29</f>
        <v>1.5209140896467323E-3</v>
      </c>
      <c r="K31" s="55">
        <f>K29/N29</f>
        <v>3.1708016940955076E-2</v>
      </c>
      <c r="L31" s="56">
        <f>L29/N29</f>
        <v>0</v>
      </c>
      <c r="M31" s="340">
        <f>M29/N29</f>
        <v>0</v>
      </c>
      <c r="N31" s="259">
        <f>SUM(C31:M31)</f>
        <v>1</v>
      </c>
    </row>
  </sheetData>
  <mergeCells count="34">
    <mergeCell ref="A31:B31"/>
    <mergeCell ref="C17:K17"/>
    <mergeCell ref="A18:A20"/>
    <mergeCell ref="B18:B20"/>
    <mergeCell ref="A2:A4"/>
    <mergeCell ref="A15:B15"/>
    <mergeCell ref="C2:M2"/>
    <mergeCell ref="N18:N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C18:M18"/>
    <mergeCell ref="C1:K1"/>
    <mergeCell ref="B2:B4"/>
    <mergeCell ref="N2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C22" sqref="C22:M22"/>
    </sheetView>
  </sheetViews>
  <sheetFormatPr defaultRowHeight="15" x14ac:dyDescent="0.25"/>
  <cols>
    <col min="1" max="1" width="4.42578125" customWidth="1"/>
    <col min="2" max="2" width="27.85546875" customWidth="1"/>
    <col min="3" max="3" width="9.140625" customWidth="1"/>
    <col min="4" max="4" width="9.85546875" bestFit="1" customWidth="1"/>
    <col min="8" max="8" width="9.85546875" bestFit="1" customWidth="1"/>
  </cols>
  <sheetData>
    <row r="1" spans="1:14" ht="33.75" customHeight="1" thickBot="1" x14ac:dyDescent="0.3">
      <c r="A1" s="26"/>
      <c r="B1" s="26"/>
      <c r="C1" s="458" t="s">
        <v>116</v>
      </c>
      <c r="D1" s="459"/>
      <c r="E1" s="459"/>
      <c r="F1" s="459"/>
      <c r="G1" s="459"/>
      <c r="H1" s="459"/>
      <c r="I1" s="459"/>
      <c r="J1" s="26"/>
      <c r="K1" s="26"/>
      <c r="L1" s="26"/>
      <c r="M1" s="26"/>
      <c r="N1" s="157" t="s">
        <v>36</v>
      </c>
    </row>
    <row r="2" spans="1:14" ht="15.75" thickBot="1" x14ac:dyDescent="0.3">
      <c r="A2" s="461" t="s">
        <v>0</v>
      </c>
      <c r="B2" s="463" t="s">
        <v>1</v>
      </c>
      <c r="C2" s="480" t="s">
        <v>2</v>
      </c>
      <c r="D2" s="481"/>
      <c r="E2" s="481"/>
      <c r="F2" s="481"/>
      <c r="G2" s="481"/>
      <c r="H2" s="481"/>
      <c r="I2" s="481"/>
      <c r="J2" s="481"/>
      <c r="K2" s="481"/>
      <c r="L2" s="481"/>
      <c r="M2" s="544"/>
      <c r="N2" s="465" t="s">
        <v>3</v>
      </c>
    </row>
    <row r="3" spans="1:14" ht="15.75" thickBot="1" x14ac:dyDescent="0.3">
      <c r="A3" s="462"/>
      <c r="B3" s="479"/>
      <c r="C3" s="352" t="s">
        <v>69</v>
      </c>
      <c r="D3" s="342" t="s">
        <v>4</v>
      </c>
      <c r="E3" s="353" t="s">
        <v>5</v>
      </c>
      <c r="F3" s="342" t="s">
        <v>6</v>
      </c>
      <c r="G3" s="355" t="s">
        <v>8</v>
      </c>
      <c r="H3" s="354" t="s">
        <v>94</v>
      </c>
      <c r="I3" s="355" t="s">
        <v>9</v>
      </c>
      <c r="J3" s="370" t="s">
        <v>10</v>
      </c>
      <c r="K3" s="355" t="s">
        <v>93</v>
      </c>
      <c r="L3" s="405" t="s">
        <v>11</v>
      </c>
      <c r="M3" s="355" t="s">
        <v>96</v>
      </c>
      <c r="N3" s="542"/>
    </row>
    <row r="4" spans="1:14" x14ac:dyDescent="0.25">
      <c r="A4" s="30">
        <v>1</v>
      </c>
      <c r="B4" s="349" t="s">
        <v>12</v>
      </c>
      <c r="C4" s="368">
        <f>[1]STA_SP4_NO!$P$10</f>
        <v>79220.56</v>
      </c>
      <c r="D4" s="400">
        <f>[2]STA_SP4_NO!$P$10</f>
        <v>76828.94</v>
      </c>
      <c r="E4" s="368">
        <f>[3]STA_SP4_NO!$P$10</f>
        <v>21167</v>
      </c>
      <c r="F4" s="54">
        <f>[4]STA_SP4_NO!$P$10</f>
        <v>53318.79</v>
      </c>
      <c r="G4" s="62">
        <f>[5]STA_SP4_NO!$P$10</f>
        <v>59006</v>
      </c>
      <c r="H4" s="54">
        <f>[6]STA_SP4_NO!$P$10</f>
        <v>17327</v>
      </c>
      <c r="I4" s="62">
        <f>[7]STA_SP4_NO!$P$10</f>
        <v>34893</v>
      </c>
      <c r="J4" s="54">
        <f>[8]STA_SP4_NO!$P$10</f>
        <v>25424</v>
      </c>
      <c r="K4" s="62">
        <f>[9]STA_SP4_NO!$P$10</f>
        <v>43260.11</v>
      </c>
      <c r="L4" s="54">
        <f>[10]STA_SP4_NO!$P$10</f>
        <v>79299</v>
      </c>
      <c r="M4" s="403">
        <f>[11]STA_SP4_NO!$P$10</f>
        <v>894.07</v>
      </c>
      <c r="N4" s="401">
        <f t="shared" ref="N4:N22" si="0">SUM(C4:M4)</f>
        <v>490638.47000000003</v>
      </c>
    </row>
    <row r="5" spans="1:14" x14ac:dyDescent="0.25">
      <c r="A5" s="32">
        <v>2</v>
      </c>
      <c r="B5" s="350" t="s">
        <v>13</v>
      </c>
      <c r="C5" s="368">
        <f>[1]STA_SP4_NO!$P$11</f>
        <v>140167.16</v>
      </c>
      <c r="D5" s="400">
        <f>[2]STA_SP4_NO!$P$11</f>
        <v>160421.78</v>
      </c>
      <c r="E5" s="368">
        <f>[3]STA_SP4_NO!$P$11</f>
        <v>11385</v>
      </c>
      <c r="F5" s="54">
        <f>[4]STA_SP4_NO!$P$11</f>
        <v>80413.03</v>
      </c>
      <c r="G5" s="62">
        <f>[5]STA_SP4_NO!$P$11</f>
        <v>149774</v>
      </c>
      <c r="H5" s="54">
        <f>[6]STA_SP4_NO!$P$11</f>
        <v>0</v>
      </c>
      <c r="I5" s="62">
        <f>[7]STA_SP4_NO!$P$11</f>
        <v>95537</v>
      </c>
      <c r="J5" s="54">
        <f>[8]STA_SP4_NO!$P$11</f>
        <v>0</v>
      </c>
      <c r="K5" s="62">
        <f>[9]STA_SP4_NO!$P$11</f>
        <v>79170.73</v>
      </c>
      <c r="L5" s="54">
        <f>[10]STA_SP4_NO!$P$11</f>
        <v>171350</v>
      </c>
      <c r="M5" s="406">
        <f>[11]STA_SP4_NO!$P$11</f>
        <v>0</v>
      </c>
      <c r="N5" s="401">
        <f t="shared" si="0"/>
        <v>888218.7</v>
      </c>
    </row>
    <row r="6" spans="1:14" x14ac:dyDescent="0.25">
      <c r="A6" s="32">
        <v>3</v>
      </c>
      <c r="B6" s="350" t="s">
        <v>14</v>
      </c>
      <c r="C6" s="368">
        <f>[1]STA_SP4_NO!$P$12</f>
        <v>104693.04</v>
      </c>
      <c r="D6" s="400">
        <f>[2]STA_SP4_NO!$P$12</f>
        <v>104732.7</v>
      </c>
      <c r="E6" s="368">
        <f>[3]STA_SP4_NO!$P$12</f>
        <v>43017</v>
      </c>
      <c r="F6" s="54">
        <f>[4]STA_SP4_NO!$P$12</f>
        <v>165589.35999999999</v>
      </c>
      <c r="G6" s="62">
        <f>[5]STA_SP4_NO!$P$12</f>
        <v>102020</v>
      </c>
      <c r="H6" s="54">
        <f>[6]STA_SP4_NO!$P$12</f>
        <v>14383</v>
      </c>
      <c r="I6" s="62">
        <f>[7]STA_SP4_NO!$P$12</f>
        <v>65475</v>
      </c>
      <c r="J6" s="54">
        <f>[8]STA_SP4_NO!$P$12</f>
        <v>67604</v>
      </c>
      <c r="K6" s="62">
        <f>[9]STA_SP4_NO!$P$12</f>
        <v>70089.69</v>
      </c>
      <c r="L6" s="54">
        <f>[10]STA_SP4_NO!$P$12</f>
        <v>71047</v>
      </c>
      <c r="M6" s="403">
        <f>[11]STA_SP4_NO!$P$12</f>
        <v>3016.72</v>
      </c>
      <c r="N6" s="401">
        <f t="shared" si="0"/>
        <v>811667.51</v>
      </c>
    </row>
    <row r="7" spans="1:14" x14ac:dyDescent="0.25">
      <c r="A7" s="32">
        <v>4</v>
      </c>
      <c r="B7" s="350" t="s">
        <v>15</v>
      </c>
      <c r="C7" s="368">
        <f>[1]STA_SP4_NO!$P$13</f>
        <v>0</v>
      </c>
      <c r="D7" s="400">
        <f>[2]STA_SP4_NO!$P$13</f>
        <v>0</v>
      </c>
      <c r="E7" s="368">
        <f>[3]STA_SP4_NO!$P$13</f>
        <v>0</v>
      </c>
      <c r="F7" s="54">
        <f>[4]STA_SP4_NO!$P$13</f>
        <v>0</v>
      </c>
      <c r="G7" s="62">
        <f>[5]STA_SP4_NO!$P$13</f>
        <v>0</v>
      </c>
      <c r="H7" s="54">
        <f>[6]STA_SP4_NO!$P$13</f>
        <v>0</v>
      </c>
      <c r="I7" s="62">
        <f>[7]STA_SP4_NO!$P$13</f>
        <v>0</v>
      </c>
      <c r="J7" s="54">
        <f>[8]STA_SP4_NO!$P$13</f>
        <v>0</v>
      </c>
      <c r="K7" s="62">
        <f>[9]STA_SP4_NO!$P$13</f>
        <v>0</v>
      </c>
      <c r="L7" s="54">
        <f>[10]STA_SP4_NO!$P$13</f>
        <v>0</v>
      </c>
      <c r="M7" s="407">
        <f>[11]STA_SP4_NO!$P$13</f>
        <v>0</v>
      </c>
      <c r="N7" s="401">
        <f t="shared" si="0"/>
        <v>0</v>
      </c>
    </row>
    <row r="8" spans="1:14" x14ac:dyDescent="0.25">
      <c r="A8" s="32">
        <v>5</v>
      </c>
      <c r="B8" s="350" t="s">
        <v>16</v>
      </c>
      <c r="C8" s="368">
        <f>[1]STA_SP4_NO!$P$14</f>
        <v>0</v>
      </c>
      <c r="D8" s="400">
        <f>[2]STA_SP4_NO!$P$14</f>
        <v>0</v>
      </c>
      <c r="E8" s="368">
        <f>[3]STA_SP4_NO!$P$14</f>
        <v>0</v>
      </c>
      <c r="F8" s="54">
        <f>[4]STA_SP4_NO!$P$14</f>
        <v>0</v>
      </c>
      <c r="G8" s="62">
        <f>[5]STA_SP4_NO!$P$14</f>
        <v>57174</v>
      </c>
      <c r="H8" s="54">
        <f>[6]STA_SP4_NO!$P$14</f>
        <v>0</v>
      </c>
      <c r="I8" s="62">
        <f>[7]STA_SP4_NO!$P$14</f>
        <v>0</v>
      </c>
      <c r="J8" s="54">
        <f>[8]STA_SP4_NO!$P$14</f>
        <v>393</v>
      </c>
      <c r="K8" s="62">
        <f>[9]STA_SP4_NO!$P$14</f>
        <v>0</v>
      </c>
      <c r="L8" s="54">
        <f>[10]STA_SP4_NO!$P$14</f>
        <v>713</v>
      </c>
      <c r="M8" s="407">
        <f>[11]STA_SP4_NO!$P$14</f>
        <v>0</v>
      </c>
      <c r="N8" s="401">
        <f t="shared" si="0"/>
        <v>58280</v>
      </c>
    </row>
    <row r="9" spans="1:14" x14ac:dyDescent="0.25">
      <c r="A9" s="32">
        <v>6</v>
      </c>
      <c r="B9" s="350" t="s">
        <v>17</v>
      </c>
      <c r="C9" s="368">
        <f>[1]STA_SP4_NO!$P$15</f>
        <v>196.15</v>
      </c>
      <c r="D9" s="400">
        <f>[2]STA_SP4_NO!$P$15</f>
        <v>154.4</v>
      </c>
      <c r="E9" s="368">
        <f>[3]STA_SP4_NO!$P$15</f>
        <v>25</v>
      </c>
      <c r="F9" s="54">
        <f>[4]STA_SP4_NO!$P$15</f>
        <v>870.77</v>
      </c>
      <c r="G9" s="62">
        <f>[5]STA_SP4_NO!$P$15</f>
        <v>26</v>
      </c>
      <c r="H9" s="54">
        <f>[6]STA_SP4_NO!$P$15</f>
        <v>0</v>
      </c>
      <c r="I9" s="62">
        <f>[7]STA_SP4_NO!$P$15</f>
        <v>46</v>
      </c>
      <c r="J9" s="54">
        <f>[8]STA_SP4_NO!$P$15</f>
        <v>211</v>
      </c>
      <c r="K9" s="62">
        <f>[9]STA_SP4_NO!$P$15</f>
        <v>80.7</v>
      </c>
      <c r="L9" s="54">
        <f>[10]STA_SP4_NO!$P$15</f>
        <v>0</v>
      </c>
      <c r="M9" s="407">
        <f>[11]STA_SP4_NO!$P$15</f>
        <v>0</v>
      </c>
      <c r="N9" s="401">
        <f t="shared" si="0"/>
        <v>1610.02</v>
      </c>
    </row>
    <row r="10" spans="1:14" x14ac:dyDescent="0.25">
      <c r="A10" s="32">
        <v>7</v>
      </c>
      <c r="B10" s="350" t="s">
        <v>18</v>
      </c>
      <c r="C10" s="368">
        <f>[1]STA_SP4_NO!$P$16</f>
        <v>14396.22</v>
      </c>
      <c r="D10" s="400">
        <f>[2]STA_SP4_NO!$P$16</f>
        <v>18868.16</v>
      </c>
      <c r="E10" s="368">
        <f>[3]STA_SP4_NO!$P$16</f>
        <v>9562</v>
      </c>
      <c r="F10" s="54">
        <f>[4]STA_SP4_NO!$P$16</f>
        <v>2704.64</v>
      </c>
      <c r="G10" s="62">
        <f>[5]STA_SP4_NO!$P$16</f>
        <v>3401</v>
      </c>
      <c r="H10" s="54">
        <f>[6]STA_SP4_NO!$P$16</f>
        <v>0</v>
      </c>
      <c r="I10" s="62">
        <f>[7]STA_SP4_NO!$P$16</f>
        <v>7683</v>
      </c>
      <c r="J10" s="54">
        <f>[8]STA_SP4_NO!$P$16</f>
        <v>1790</v>
      </c>
      <c r="K10" s="62">
        <f>[9]STA_SP4_NO!$P$16</f>
        <v>4495.68</v>
      </c>
      <c r="L10" s="54">
        <f>[10]STA_SP4_NO!$P$16</f>
        <v>2132</v>
      </c>
      <c r="M10" s="407">
        <f>[11]STA_SP4_NO!$P$16</f>
        <v>0</v>
      </c>
      <c r="N10" s="401">
        <f t="shared" si="0"/>
        <v>65032.7</v>
      </c>
    </row>
    <row r="11" spans="1:14" x14ac:dyDescent="0.25">
      <c r="A11" s="32">
        <v>8</v>
      </c>
      <c r="B11" s="350" t="s">
        <v>19</v>
      </c>
      <c r="C11" s="368">
        <f>[1]STA_SP4_NO!$P$17</f>
        <v>121855.54</v>
      </c>
      <c r="D11" s="400">
        <f>[2]STA_SP4_NO!$P$17</f>
        <v>53196.88</v>
      </c>
      <c r="E11" s="368">
        <f>[3]STA_SP4_NO!$P$17</f>
        <v>27649</v>
      </c>
      <c r="F11" s="54">
        <f>[4]STA_SP4_NO!$P$17</f>
        <v>68813.259999999995</v>
      </c>
      <c r="G11" s="62">
        <f>[5]STA_SP4_NO!$P$17</f>
        <v>434440</v>
      </c>
      <c r="H11" s="54">
        <f>[6]STA_SP4_NO!$P$17</f>
        <v>2360</v>
      </c>
      <c r="I11" s="62">
        <f>[7]STA_SP4_NO!$P$17</f>
        <v>35614</v>
      </c>
      <c r="J11" s="54">
        <f>[8]STA_SP4_NO!$P$17</f>
        <v>33866</v>
      </c>
      <c r="K11" s="62">
        <f>[9]STA_SP4_NO!$P$17</f>
        <v>39875.69</v>
      </c>
      <c r="L11" s="54">
        <f>[10]STA_SP4_NO!$P$17</f>
        <v>41834</v>
      </c>
      <c r="M11" s="403">
        <f>[11]STA_SP4_NO!$P$17</f>
        <v>100.1</v>
      </c>
      <c r="N11" s="401">
        <f t="shared" si="0"/>
        <v>859604.46999999986</v>
      </c>
    </row>
    <row r="12" spans="1:14" x14ac:dyDescent="0.25">
      <c r="A12" s="32">
        <v>9</v>
      </c>
      <c r="B12" s="350" t="s">
        <v>20</v>
      </c>
      <c r="C12" s="368">
        <f>[1]STA_SP4_NO!$P$20</f>
        <v>204983.67999999999</v>
      </c>
      <c r="D12" s="400">
        <f>[2]STA_SP4_NO!$P$20</f>
        <v>138307.82999999999</v>
      </c>
      <c r="E12" s="368">
        <f>[3]STA_SP4_NO!$P$20</f>
        <v>34645</v>
      </c>
      <c r="F12" s="54">
        <f>[4]STA_SP4_NO!$P$20</f>
        <v>128386.18</v>
      </c>
      <c r="G12" s="62">
        <f>[5]STA_SP4_NO!$P$20</f>
        <v>247711</v>
      </c>
      <c r="H12" s="54">
        <f>[6]STA_SP4_NO!$P$20</f>
        <v>1366</v>
      </c>
      <c r="I12" s="62">
        <f>[7]STA_SP4_NO!$P$20</f>
        <v>131131</v>
      </c>
      <c r="J12" s="54">
        <f>[8]STA_SP4_NO!$P$20</f>
        <v>18920</v>
      </c>
      <c r="K12" s="62">
        <f>[9]STA_SP4_NO!$P$20</f>
        <v>59817.38</v>
      </c>
      <c r="L12" s="54">
        <f>[10]STA_SP4_NO!$P$20</f>
        <v>57018</v>
      </c>
      <c r="M12" s="403">
        <f>[11]STA_SP4_NO!$P$20</f>
        <v>64.12</v>
      </c>
      <c r="N12" s="401">
        <f t="shared" si="0"/>
        <v>1022350.19</v>
      </c>
    </row>
    <row r="13" spans="1:14" x14ac:dyDescent="0.25">
      <c r="A13" s="32">
        <v>10</v>
      </c>
      <c r="B13" s="350" t="s">
        <v>21</v>
      </c>
      <c r="C13" s="368">
        <f>[1]STA_SP4_NO!$P$26</f>
        <v>509654.1</v>
      </c>
      <c r="D13" s="400">
        <f>[2]STA_SP4_NO!$P$26</f>
        <v>289975.15999999997</v>
      </c>
      <c r="E13" s="368">
        <f>[3]STA_SP4_NO!$P$26</f>
        <v>257760</v>
      </c>
      <c r="F13" s="54">
        <f>[4]STA_SP4_NO!$P$26</f>
        <v>338356.59</v>
      </c>
      <c r="G13" s="62">
        <f>[5]STA_SP4_NO!$P$26</f>
        <v>289069</v>
      </c>
      <c r="H13" s="54">
        <f>[6]STA_SP4_NO!$P$26</f>
        <v>355762</v>
      </c>
      <c r="I13" s="62">
        <f>[7]STA_SP4_NO!$P$26</f>
        <v>643104</v>
      </c>
      <c r="J13" s="54">
        <f>[8]STA_SP4_NO!$P$26</f>
        <v>327395</v>
      </c>
      <c r="K13" s="62">
        <f>[9]STA_SP4_NO!$P$26</f>
        <v>231540.35</v>
      </c>
      <c r="L13" s="54">
        <f>[10]STA_SP4_NO!$P$26</f>
        <v>400163</v>
      </c>
      <c r="M13" s="403">
        <f>[11]STA_SP4_NO!$P$26</f>
        <v>29036.7</v>
      </c>
      <c r="N13" s="401">
        <f t="shared" si="0"/>
        <v>3671815.9000000004</v>
      </c>
    </row>
    <row r="14" spans="1:14" x14ac:dyDescent="0.25">
      <c r="A14" s="32">
        <v>11</v>
      </c>
      <c r="B14" s="350" t="s">
        <v>22</v>
      </c>
      <c r="C14" s="368">
        <f>[1]STA_SP4_NO!$P$33</f>
        <v>35.22</v>
      </c>
      <c r="D14" s="400">
        <f>[2]STA_SP4_NO!$P$33</f>
        <v>356.11</v>
      </c>
      <c r="E14" s="368">
        <f>[3]STA_SP4_NO!$P$33</f>
        <v>0</v>
      </c>
      <c r="F14" s="54">
        <f>[4]STA_SP4_NO!$P$33</f>
        <v>0</v>
      </c>
      <c r="G14" s="62">
        <f>[5]STA_SP4_NO!$P$33</f>
        <v>6629</v>
      </c>
      <c r="H14" s="54">
        <f>[6]STA_SP4_NO!$P$33</f>
        <v>0</v>
      </c>
      <c r="I14" s="62">
        <f>[7]STA_SP4_NO!$P$33</f>
        <v>0</v>
      </c>
      <c r="J14" s="54">
        <f>[8]STA_SP4_NO!$P$33</f>
        <v>1450</v>
      </c>
      <c r="K14" s="62">
        <f>[9]STA_SP4_NO!$P$33</f>
        <v>0</v>
      </c>
      <c r="L14" s="54">
        <f>[10]STA_SP4_NO!$P$33</f>
        <v>454</v>
      </c>
      <c r="M14" s="407">
        <f>[11]STA_SP4_NO!$P$33</f>
        <v>0</v>
      </c>
      <c r="N14" s="401">
        <f t="shared" si="0"/>
        <v>8924.33</v>
      </c>
    </row>
    <row r="15" spans="1:14" x14ac:dyDescent="0.25">
      <c r="A15" s="32">
        <v>12</v>
      </c>
      <c r="B15" s="350" t="s">
        <v>23</v>
      </c>
      <c r="C15" s="368">
        <f>[1]STA_SP4_NO!$P$34</f>
        <v>538.53</v>
      </c>
      <c r="D15" s="400">
        <f>[2]STA_SP4_NO!$P$34</f>
        <v>280.82</v>
      </c>
      <c r="E15" s="368">
        <f>[3]STA_SP4_NO!$P$34</f>
        <v>73</v>
      </c>
      <c r="F15" s="54">
        <f>[4]STA_SP4_NO!$P$34</f>
        <v>1061.28</v>
      </c>
      <c r="G15" s="62">
        <f>[5]STA_SP4_NO!$P$34</f>
        <v>707</v>
      </c>
      <c r="H15" s="54">
        <f>[6]STA_SP4_NO!$P$34</f>
        <v>0</v>
      </c>
      <c r="I15" s="62">
        <f>[7]STA_SP4_NO!$P$34</f>
        <v>531</v>
      </c>
      <c r="J15" s="54">
        <f>[8]STA_SP4_NO!$P$34</f>
        <v>502</v>
      </c>
      <c r="K15" s="62">
        <f>[9]STA_SP4_NO!$P$34</f>
        <v>376.71</v>
      </c>
      <c r="L15" s="54">
        <f>[10]STA_SP4_NO!$P$34</f>
        <v>162</v>
      </c>
      <c r="M15" s="407">
        <f>[11]STA_SP4_NO!$P$34</f>
        <v>0</v>
      </c>
      <c r="N15" s="401">
        <f t="shared" si="0"/>
        <v>4232.34</v>
      </c>
    </row>
    <row r="16" spans="1:14" x14ac:dyDescent="0.25">
      <c r="A16" s="32">
        <v>13</v>
      </c>
      <c r="B16" s="350" t="s">
        <v>68</v>
      </c>
      <c r="C16" s="368">
        <f>[1]STA_SP4_NO!$P$35</f>
        <v>28850.29</v>
      </c>
      <c r="D16" s="400">
        <f>[2]STA_SP4_NO!$P$35</f>
        <v>34209.01</v>
      </c>
      <c r="E16" s="368">
        <f>[3]STA_SP4_NO!$P$35</f>
        <v>5059</v>
      </c>
      <c r="F16" s="54">
        <f>[4]STA_SP4_NO!$P$35</f>
        <v>14192.53</v>
      </c>
      <c r="G16" s="62">
        <f>[5]STA_SP4_NO!$P$35</f>
        <v>131258</v>
      </c>
      <c r="H16" s="54">
        <f>[6]STA_SP4_NO!$P$35</f>
        <v>486</v>
      </c>
      <c r="I16" s="62">
        <f>[7]STA_SP4_NO!$P$35</f>
        <v>28605</v>
      </c>
      <c r="J16" s="54">
        <f>[8]STA_SP4_NO!$P$35</f>
        <v>13989</v>
      </c>
      <c r="K16" s="62">
        <f>[9]STA_SP4_NO!$P$35</f>
        <v>38491.58</v>
      </c>
      <c r="L16" s="54">
        <f>[10]STA_SP4_NO!$P$35</f>
        <v>11197</v>
      </c>
      <c r="M16" s="403">
        <f>[11]STA_SP4_NO!$P$35</f>
        <v>40.76</v>
      </c>
      <c r="N16" s="401">
        <f t="shared" si="0"/>
        <v>306378.17000000004</v>
      </c>
    </row>
    <row r="17" spans="1:14" x14ac:dyDescent="0.25">
      <c r="A17" s="32">
        <v>14</v>
      </c>
      <c r="B17" s="350" t="s">
        <v>25</v>
      </c>
      <c r="C17" s="368">
        <f>[1]STA_SP4_NO!$P$36</f>
        <v>7504.91</v>
      </c>
      <c r="D17" s="400">
        <f>[2]STA_SP4_NO!$P$36</f>
        <v>32034.81</v>
      </c>
      <c r="E17" s="368">
        <f>[3]STA_SP4_NO!$P$36</f>
        <v>324</v>
      </c>
      <c r="F17" s="54">
        <f>[4]STA_SP4_NO!$P$36</f>
        <v>7079.94</v>
      </c>
      <c r="G17" s="62">
        <f>[5]STA_SP4_NO!$P$36</f>
        <v>0</v>
      </c>
      <c r="H17" s="54">
        <f>[6]STA_SP4_NO!$P$36</f>
        <v>0</v>
      </c>
      <c r="I17" s="62">
        <f>[7]STA_SP4_NO!$P$36</f>
        <v>0</v>
      </c>
      <c r="J17" s="54">
        <f>[8]STA_SP4_NO!$P$36</f>
        <v>0</v>
      </c>
      <c r="K17" s="62">
        <f>[9]STA_SP4_NO!$P$36</f>
        <v>52159.39</v>
      </c>
      <c r="L17" s="54">
        <f>[10]STA_SP4_NO!$P$36</f>
        <v>1938</v>
      </c>
      <c r="M17" s="407">
        <f>[11]STA_SP4_NO!$P$36</f>
        <v>0</v>
      </c>
      <c r="N17" s="401">
        <f t="shared" si="0"/>
        <v>101041.05</v>
      </c>
    </row>
    <row r="18" spans="1:14" x14ac:dyDescent="0.25">
      <c r="A18" s="32">
        <v>15</v>
      </c>
      <c r="B18" s="350" t="s">
        <v>26</v>
      </c>
      <c r="C18" s="368">
        <f>[1]STA_SP4_NO!$P$37</f>
        <v>0</v>
      </c>
      <c r="D18" s="400">
        <f>[2]STA_SP4_NO!$P$37</f>
        <v>0</v>
      </c>
      <c r="E18" s="368">
        <f>[3]STA_SP4_NO!$P$37</f>
        <v>244</v>
      </c>
      <c r="F18" s="54">
        <f>[4]STA_SP4_NO!$P$37</f>
        <v>0</v>
      </c>
      <c r="G18" s="62">
        <f>[5]STA_SP4_NO!$P$37</f>
        <v>83</v>
      </c>
      <c r="H18" s="54">
        <f>[6]STA_SP4_NO!$P$37</f>
        <v>0</v>
      </c>
      <c r="I18" s="62">
        <f>[7]STA_SP4_NO!$P$37</f>
        <v>0</v>
      </c>
      <c r="J18" s="54">
        <f>[8]STA_SP4_NO!$P$37</f>
        <v>0</v>
      </c>
      <c r="K18" s="62">
        <f>[9]STA_SP4_NO!$P$37</f>
        <v>113.5</v>
      </c>
      <c r="L18" s="54">
        <f>[10]STA_SP4_NO!$P$37</f>
        <v>0</v>
      </c>
      <c r="M18" s="407">
        <f>[11]STA_SP4_NO!$P$37</f>
        <v>0</v>
      </c>
      <c r="N18" s="401">
        <f t="shared" si="0"/>
        <v>440.5</v>
      </c>
    </row>
    <row r="19" spans="1:14" x14ac:dyDescent="0.25">
      <c r="A19" s="32">
        <v>16</v>
      </c>
      <c r="B19" s="350" t="s">
        <v>27</v>
      </c>
      <c r="C19" s="368">
        <f>[1]STA_SP4_NO!$P$38</f>
        <v>6639.41</v>
      </c>
      <c r="D19" s="400">
        <f>[2]STA_SP4_NO!$P$38</f>
        <v>44444.07</v>
      </c>
      <c r="E19" s="368">
        <f>[3]STA_SP4_NO!$P$38</f>
        <v>88</v>
      </c>
      <c r="F19" s="54">
        <f>[4]STA_SP4_NO!$P$38</f>
        <v>6527.14</v>
      </c>
      <c r="G19" s="62">
        <f>[5]STA_SP4_NO!$P$38</f>
        <v>364</v>
      </c>
      <c r="H19" s="54">
        <f>[6]STA_SP4_NO!$P$38</f>
        <v>0</v>
      </c>
      <c r="I19" s="62">
        <f>[7]STA_SP4_NO!$P$38</f>
        <v>7365</v>
      </c>
      <c r="J19" s="54">
        <f>[8]STA_SP4_NO!$P$38</f>
        <v>0</v>
      </c>
      <c r="K19" s="62">
        <f>[9]STA_SP4_NO!$P$38</f>
        <v>12008.05</v>
      </c>
      <c r="L19" s="54">
        <f>[10]STA_SP4_NO!$P$38</f>
        <v>527</v>
      </c>
      <c r="M19" s="407">
        <f>[11]STA_SP4_NO!$P$38</f>
        <v>0</v>
      </c>
      <c r="N19" s="401">
        <f t="shared" si="0"/>
        <v>77962.67</v>
      </c>
    </row>
    <row r="20" spans="1:14" x14ac:dyDescent="0.25">
      <c r="A20" s="32">
        <v>17</v>
      </c>
      <c r="B20" s="350" t="s">
        <v>28</v>
      </c>
      <c r="C20" s="368">
        <f>[1]STA_SP4_NO!$P$39</f>
        <v>0</v>
      </c>
      <c r="D20" s="400">
        <f>[2]STA_SP4_NO!$P$39</f>
        <v>0</v>
      </c>
      <c r="E20" s="368">
        <f>[3]STA_SP4_NO!$P$39</f>
        <v>0</v>
      </c>
      <c r="F20" s="54">
        <f>[4]STA_SP4_NO!$P$39</f>
        <v>0</v>
      </c>
      <c r="G20" s="62">
        <f>[5]STA_SP4_NO!$P$39</f>
        <v>0</v>
      </c>
      <c r="H20" s="54">
        <f>[6]STA_SP4_NO!$P$39</f>
        <v>0</v>
      </c>
      <c r="I20" s="62">
        <f>[7]STA_SP4_NO!$P$39</f>
        <v>0</v>
      </c>
      <c r="J20" s="54">
        <f>[8]STA_SP4_NO!$P$39</f>
        <v>0</v>
      </c>
      <c r="K20" s="62">
        <f>[9]STA_SP4_NO!$P$39</f>
        <v>0</v>
      </c>
      <c r="L20" s="54">
        <f>[10]STA_SP4_NO!$P$39</f>
        <v>1</v>
      </c>
      <c r="M20" s="407">
        <f>[11]STA_SP4_NO!$P$39</f>
        <v>0</v>
      </c>
      <c r="N20" s="401">
        <f t="shared" si="0"/>
        <v>1</v>
      </c>
    </row>
    <row r="21" spans="1:14" ht="15.75" thickBot="1" x14ac:dyDescent="0.3">
      <c r="A21" s="34">
        <v>18</v>
      </c>
      <c r="B21" s="351" t="s">
        <v>29</v>
      </c>
      <c r="C21" s="368">
        <f>[1]STA_SP4_NO!$P$40</f>
        <v>11419.74</v>
      </c>
      <c r="D21" s="400">
        <f>[2]STA_SP4_NO!$P$40</f>
        <v>34802.26</v>
      </c>
      <c r="E21" s="368">
        <f>[3]STA_SP4_NO!$P$40</f>
        <v>5873</v>
      </c>
      <c r="F21" s="54">
        <f>[4]STA_SP4_NO!$P$40</f>
        <v>32137.83</v>
      </c>
      <c r="G21" s="62">
        <f>[5]STA_SP4_NO!$P$40</f>
        <v>24484</v>
      </c>
      <c r="H21" s="54">
        <f>[6]STA_SP4_NO!$P$40</f>
        <v>3735</v>
      </c>
      <c r="I21" s="62">
        <f>[7]STA_SP4_NO!$P$40</f>
        <v>14547</v>
      </c>
      <c r="J21" s="54">
        <f>[8]STA_SP4_NO!$P$40</f>
        <v>11764</v>
      </c>
      <c r="K21" s="62">
        <f>[9]STA_SP4_NO!$P$40</f>
        <v>8414.73</v>
      </c>
      <c r="L21" s="54">
        <f>[10]STA_SP4_NO!$P$40</f>
        <v>13925</v>
      </c>
      <c r="M21" s="407">
        <f>[11]STA_SP4_NO!$P$40</f>
        <v>148.44</v>
      </c>
      <c r="N21" s="401">
        <f t="shared" si="0"/>
        <v>161251.00000000003</v>
      </c>
    </row>
    <row r="22" spans="1:14" ht="15.75" thickBot="1" x14ac:dyDescent="0.3">
      <c r="A22" s="36"/>
      <c r="B22" s="364" t="s">
        <v>37</v>
      </c>
      <c r="C22" s="359">
        <f t="shared" ref="C22:D22" si="1">SUM(C4:C21)</f>
        <v>1230154.5499999998</v>
      </c>
      <c r="D22" s="361">
        <f t="shared" si="1"/>
        <v>988612.92999999982</v>
      </c>
      <c r="E22" s="357">
        <f t="shared" ref="E22:M22" si="2">SUM(E4:E21)</f>
        <v>416871</v>
      </c>
      <c r="F22" s="360">
        <f t="shared" si="2"/>
        <v>899451.34000000008</v>
      </c>
      <c r="G22" s="348">
        <f t="shared" si="2"/>
        <v>1506146</v>
      </c>
      <c r="H22" s="360">
        <f t="shared" si="2"/>
        <v>395419</v>
      </c>
      <c r="I22" s="348">
        <f t="shared" si="2"/>
        <v>1064531</v>
      </c>
      <c r="J22" s="360">
        <f t="shared" si="2"/>
        <v>503308</v>
      </c>
      <c r="K22" s="348">
        <f t="shared" si="2"/>
        <v>639894.28999999992</v>
      </c>
      <c r="L22" s="361">
        <f t="shared" si="2"/>
        <v>851760</v>
      </c>
      <c r="M22" s="404">
        <f t="shared" si="2"/>
        <v>33300.910000000003</v>
      </c>
      <c r="N22" s="234">
        <f t="shared" si="0"/>
        <v>8529449.0199999996</v>
      </c>
    </row>
    <row r="23" spans="1:14" ht="15.75" thickBot="1" x14ac:dyDescent="0.3">
      <c r="A23" s="43"/>
      <c r="B23" s="44"/>
      <c r="C23" s="59"/>
      <c r="D23" s="46"/>
      <c r="E23" s="59"/>
      <c r="F23" s="46"/>
      <c r="G23" s="46"/>
      <c r="H23" s="59"/>
      <c r="I23" s="46"/>
      <c r="J23" s="59"/>
      <c r="K23" s="46"/>
      <c r="L23" s="59"/>
      <c r="M23" s="346"/>
      <c r="N23" s="46"/>
    </row>
    <row r="24" spans="1:14" ht="15.75" thickBot="1" x14ac:dyDescent="0.3">
      <c r="A24" s="446" t="s">
        <v>53</v>
      </c>
      <c r="B24" s="447"/>
      <c r="C24" s="55">
        <f>C22/N22</f>
        <v>0.14422438625467041</v>
      </c>
      <c r="D24" s="56">
        <f>D22/N22</f>
        <v>0.11590583725653124</v>
      </c>
      <c r="E24" s="48">
        <f>E22/N22</f>
        <v>4.8874317558204955E-2</v>
      </c>
      <c r="F24" s="47">
        <f>F22/N22</f>
        <v>0.10545245512235914</v>
      </c>
      <c r="G24" s="70">
        <f>G22/N22</f>
        <v>0.1765818631975363</v>
      </c>
      <c r="H24" s="47">
        <f>H22/N22</f>
        <v>4.6359266474635667E-2</v>
      </c>
      <c r="I24" s="402">
        <f>I22/N22</f>
        <v>0.12480653762087907</v>
      </c>
      <c r="J24" s="47">
        <f>J22/N22</f>
        <v>5.9008266397962479E-2</v>
      </c>
      <c r="K24" s="402">
        <f>K22/N22</f>
        <v>7.5021761487707436E-2</v>
      </c>
      <c r="L24" s="47">
        <f>L22/N22</f>
        <v>9.9861081061951185E-2</v>
      </c>
      <c r="M24" s="340">
        <f>M22/N22</f>
        <v>3.904227567562155E-3</v>
      </c>
      <c r="N24" s="256">
        <f>SUM(C24:M24)</f>
        <v>1.0000000000000002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1"/>
    </row>
    <row r="26" spans="1:14" ht="15.75" thickBot="1" x14ac:dyDescent="0.3">
      <c r="A26" s="425" t="s">
        <v>0</v>
      </c>
      <c r="B26" s="427" t="s">
        <v>1</v>
      </c>
      <c r="C26" s="472" t="s">
        <v>90</v>
      </c>
      <c r="D26" s="473"/>
      <c r="E26" s="473"/>
      <c r="F26" s="473"/>
      <c r="G26" s="473"/>
      <c r="H26" s="474"/>
      <c r="I26" s="441" t="s">
        <v>3</v>
      </c>
      <c r="J26" s="1"/>
      <c r="K26" s="1"/>
      <c r="L26" s="1"/>
      <c r="M26" s="1"/>
      <c r="N26" s="1"/>
    </row>
    <row r="27" spans="1:14" ht="15.75" thickBot="1" x14ac:dyDescent="0.3">
      <c r="A27" s="426"/>
      <c r="B27" s="429"/>
      <c r="C27" s="189" t="s">
        <v>11</v>
      </c>
      <c r="D27" s="213" t="s">
        <v>32</v>
      </c>
      <c r="E27" s="191" t="s">
        <v>7</v>
      </c>
      <c r="F27" s="127" t="s">
        <v>9</v>
      </c>
      <c r="G27" s="168" t="s">
        <v>4</v>
      </c>
      <c r="H27" s="208" t="s">
        <v>95</v>
      </c>
      <c r="I27" s="543"/>
      <c r="J27" s="81"/>
      <c r="K27" s="413" t="s">
        <v>33</v>
      </c>
      <c r="L27" s="414"/>
      <c r="M27" s="230">
        <f>N22</f>
        <v>8529449.0199999996</v>
      </c>
      <c r="N27" s="231">
        <f>M27/M29</f>
        <v>0.83252922895873627</v>
      </c>
    </row>
    <row r="28" spans="1:14" ht="15.75" thickBot="1" x14ac:dyDescent="0.3">
      <c r="A28" s="22">
        <v>19</v>
      </c>
      <c r="B28" s="128" t="s">
        <v>34</v>
      </c>
      <c r="C28" s="193">
        <f>[12]STA_SP1_ZO!$Q$51</f>
        <v>427896</v>
      </c>
      <c r="D28" s="200">
        <f>[13]STA_SP1_ZO!$Q$51</f>
        <v>290386</v>
      </c>
      <c r="E28" s="194">
        <f>[14]STA_SP1_ZO!$Q$51</f>
        <v>367990</v>
      </c>
      <c r="F28" s="50">
        <f>[15]STA_SP1_ZO!$Q$51</f>
        <v>189061</v>
      </c>
      <c r="G28" s="115">
        <f>[16]STA_SP1_ZO!$Q$51</f>
        <v>427479.45</v>
      </c>
      <c r="H28" s="50">
        <f>[17]STA_SP1_ZO!$Q$51</f>
        <v>12963.23</v>
      </c>
      <c r="I28" s="242">
        <f>SUM(C28:H28)</f>
        <v>1715775.68</v>
      </c>
      <c r="J28" s="81"/>
      <c r="K28" s="413" t="s">
        <v>34</v>
      </c>
      <c r="L28" s="414"/>
      <c r="M28" s="253">
        <f>I28</f>
        <v>1715775.68</v>
      </c>
      <c r="N28" s="233">
        <f>M28/M29</f>
        <v>0.16747077104126376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3" t="s">
        <v>3</v>
      </c>
      <c r="L29" s="414"/>
      <c r="M29" s="234">
        <f>M27+M28</f>
        <v>10245224.699999999</v>
      </c>
      <c r="N29" s="235">
        <f>M29/M29</f>
        <v>1</v>
      </c>
    </row>
    <row r="30" spans="1:14" ht="15.75" thickBot="1" x14ac:dyDescent="0.3">
      <c r="A30" s="417" t="s">
        <v>53</v>
      </c>
      <c r="B30" s="418"/>
      <c r="C30" s="23">
        <f>C28/I28</f>
        <v>0.24938924416972738</v>
      </c>
      <c r="D30" s="82">
        <f>D28/I28</f>
        <v>0.16924473483619956</v>
      </c>
      <c r="E30" s="23">
        <f>E28/I28</f>
        <v>0.21447442360297356</v>
      </c>
      <c r="F30" s="82">
        <f>F28/I28</f>
        <v>0.11018981222533707</v>
      </c>
      <c r="G30" s="23">
        <f>G28/I28</f>
        <v>0.2491464676781058</v>
      </c>
      <c r="H30" s="82">
        <f>H28/I28</f>
        <v>7.5553174876566613E-3</v>
      </c>
      <c r="I30" s="229">
        <f>I28/I28</f>
        <v>1</v>
      </c>
      <c r="J30" s="1"/>
      <c r="K30" s="1"/>
      <c r="L30" s="1"/>
      <c r="M30" s="1"/>
      <c r="N30" s="1"/>
    </row>
  </sheetData>
  <mergeCells count="14">
    <mergeCell ref="N2:N3"/>
    <mergeCell ref="A30:B30"/>
    <mergeCell ref="K28:L28"/>
    <mergeCell ref="C1:I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C7" sqref="C7:M7"/>
    </sheetView>
  </sheetViews>
  <sheetFormatPr defaultRowHeight="15" x14ac:dyDescent="0.25"/>
  <cols>
    <col min="1" max="1" width="4.7109375" customWidth="1"/>
    <col min="2" max="2" width="20.28515625" customWidth="1"/>
    <col min="8" max="8" width="11.42578125" customWidth="1"/>
    <col min="14" max="14" width="11.7109375" customWidth="1"/>
  </cols>
  <sheetData>
    <row r="1" spans="1:15" x14ac:dyDescent="0.25">
      <c r="A1" s="1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557" t="s">
        <v>117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9"/>
      <c r="M2" s="1"/>
      <c r="N2" s="1"/>
    </row>
    <row r="3" spans="1:15" ht="15.75" thickBot="1" x14ac:dyDescent="0.3">
      <c r="A3" s="26"/>
      <c r="B3" s="487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26"/>
      <c r="N3" s="155" t="s">
        <v>91</v>
      </c>
    </row>
    <row r="4" spans="1:15" ht="15.75" thickBot="1" x14ac:dyDescent="0.3">
      <c r="A4" s="461" t="s">
        <v>0</v>
      </c>
      <c r="B4" s="566" t="s">
        <v>89</v>
      </c>
      <c r="C4" s="375" t="s">
        <v>2</v>
      </c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555" t="s">
        <v>3</v>
      </c>
    </row>
    <row r="5" spans="1:15" ht="15.75" thickBot="1" x14ac:dyDescent="0.3">
      <c r="A5" s="462"/>
      <c r="B5" s="565"/>
      <c r="C5" s="262" t="s">
        <v>69</v>
      </c>
      <c r="D5" s="171" t="s">
        <v>4</v>
      </c>
      <c r="E5" s="170" t="s">
        <v>5</v>
      </c>
      <c r="F5" s="409" t="s">
        <v>6</v>
      </c>
      <c r="G5" s="171" t="s">
        <v>8</v>
      </c>
      <c r="H5" s="226" t="s">
        <v>94</v>
      </c>
      <c r="I5" s="171" t="s">
        <v>9</v>
      </c>
      <c r="J5" s="263" t="s">
        <v>10</v>
      </c>
      <c r="K5" s="171" t="s">
        <v>93</v>
      </c>
      <c r="L5" s="169" t="s">
        <v>11</v>
      </c>
      <c r="M5" s="264" t="s">
        <v>96</v>
      </c>
      <c r="N5" s="556"/>
    </row>
    <row r="6" spans="1:15" ht="37.5" customHeight="1" x14ac:dyDescent="0.25">
      <c r="A6" s="30">
        <v>1</v>
      </c>
      <c r="B6" s="60" t="s">
        <v>59</v>
      </c>
      <c r="C6" s="67">
        <f>[1]STA_SP5_NO!$E$41</f>
        <v>975151.75</v>
      </c>
      <c r="D6" s="68">
        <f>[2]STA_SP5_NO!$E$41</f>
        <v>924142.54</v>
      </c>
      <c r="E6" s="61">
        <f>[3]STA_SP5_NO!$E$41</f>
        <v>205289</v>
      </c>
      <c r="F6" s="118">
        <f>[4]STA_SP5_NO!$E$41</f>
        <v>354101.57</v>
      </c>
      <c r="G6" s="68">
        <f>[5]STA_SP5_NO!$E$41</f>
        <v>385563</v>
      </c>
      <c r="H6" s="117">
        <f>[6]STA_SP5_NO!$E$41</f>
        <v>214210.73</v>
      </c>
      <c r="I6" s="68">
        <f>[7]STA_SP5_NO!$E$41</f>
        <v>179458</v>
      </c>
      <c r="J6" s="74">
        <f>[8]STA_SP5_NO!$E$41</f>
        <v>234445</v>
      </c>
      <c r="K6" s="68">
        <f>[9]STA_SP5_NO!$E$41</f>
        <v>261122.51</v>
      </c>
      <c r="L6" s="260">
        <f>[10]STA_SP5_NO!$E$41</f>
        <v>394077</v>
      </c>
      <c r="M6" s="258">
        <f>[11]STA_SP5_NO!$E$41</f>
        <v>7011.19</v>
      </c>
      <c r="N6" s="265">
        <f>SUM(C6:M6)</f>
        <v>4134572.2899999996</v>
      </c>
    </row>
    <row r="7" spans="1:15" ht="37.5" customHeight="1" thickBot="1" x14ac:dyDescent="0.3">
      <c r="A7" s="83">
        <v>2</v>
      </c>
      <c r="B7" s="84" t="s">
        <v>60</v>
      </c>
      <c r="C7" s="85">
        <f>[1]STA_SP5_NO!$G$41</f>
        <v>412656.29</v>
      </c>
      <c r="D7" s="86">
        <f>[2]STA_SP5_NO!$G$41</f>
        <v>285683.03000000003</v>
      </c>
      <c r="E7" s="87">
        <f>[3]STA_SP5_NO!$G$41</f>
        <v>291675</v>
      </c>
      <c r="F7" s="410">
        <f>[4]STA_SP5_NO!$G$41</f>
        <v>266357.64</v>
      </c>
      <c r="G7" s="86">
        <f>[5]STA_SP5_NO!$G$41</f>
        <v>283000</v>
      </c>
      <c r="H7" s="408">
        <f>[6]STA_SP5_NO!$G$41</f>
        <v>155263.6</v>
      </c>
      <c r="I7" s="86">
        <f>[7]STA_SP5_NO!$G$41</f>
        <v>316095</v>
      </c>
      <c r="J7" s="87">
        <f>[8]STA_SP5_NO!$G$41</f>
        <v>297543.09000000003</v>
      </c>
      <c r="K7" s="68">
        <f>[9]STA_SP5_NO!$G$41</f>
        <v>245948.13</v>
      </c>
      <c r="L7" s="261">
        <f>[10]STA_SP5_NO!$G$41</f>
        <v>421716</v>
      </c>
      <c r="M7" s="186">
        <f>[11]STA_SP5_NO!$G$41</f>
        <v>30450.43</v>
      </c>
      <c r="N7" s="266">
        <f>SUM(C7:M7)</f>
        <v>3006388.21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461" t="s">
        <v>0</v>
      </c>
      <c r="B10" s="564" t="s">
        <v>89</v>
      </c>
      <c r="C10" s="569" t="s">
        <v>90</v>
      </c>
      <c r="D10" s="569"/>
      <c r="E10" s="569"/>
      <c r="F10" s="569"/>
      <c r="G10" s="569"/>
      <c r="H10" s="569"/>
      <c r="I10" s="567" t="s">
        <v>3</v>
      </c>
      <c r="K10" s="547" t="s">
        <v>81</v>
      </c>
      <c r="L10" s="548"/>
      <c r="M10" s="551" t="s">
        <v>2</v>
      </c>
      <c r="N10" s="553" t="s">
        <v>90</v>
      </c>
      <c r="O10" s="545" t="s">
        <v>3</v>
      </c>
    </row>
    <row r="11" spans="1:15" ht="15.75" thickBot="1" x14ac:dyDescent="0.3">
      <c r="A11" s="462"/>
      <c r="B11" s="565"/>
      <c r="C11" s="169" t="s">
        <v>11</v>
      </c>
      <c r="D11" s="195" t="s">
        <v>32</v>
      </c>
      <c r="E11" s="170" t="s">
        <v>7</v>
      </c>
      <c r="F11" s="171" t="s">
        <v>9</v>
      </c>
      <c r="G11" s="170" t="s">
        <v>4</v>
      </c>
      <c r="H11" s="214" t="s">
        <v>95</v>
      </c>
      <c r="I11" s="568"/>
      <c r="K11" s="549"/>
      <c r="L11" s="550"/>
      <c r="M11" s="552"/>
      <c r="N11" s="554"/>
      <c r="O11" s="546"/>
    </row>
    <row r="12" spans="1:15" ht="37.5" customHeight="1" thickBot="1" x14ac:dyDescent="0.3">
      <c r="A12" s="96">
        <v>1</v>
      </c>
      <c r="B12" s="60" t="s">
        <v>59</v>
      </c>
      <c r="C12" s="97">
        <f>[12]STA_SP4_ZO!$G$51</f>
        <v>25576</v>
      </c>
      <c r="D12" s="201">
        <f>[13]STA_SP4_ZO!$G$51</f>
        <v>45786</v>
      </c>
      <c r="E12" s="99">
        <f>[14]STA_SP4_ZO!$G$51</f>
        <v>6496</v>
      </c>
      <c r="F12" s="98">
        <f>[15]STA_SP4_ZO!$G$51</f>
        <v>7270</v>
      </c>
      <c r="G12" s="100">
        <f>[16]STA_SP4_ZO!$G$51</f>
        <v>3365.55</v>
      </c>
      <c r="H12" s="172">
        <f>[17]STA_SP4_ZO!$G$51</f>
        <v>61.7</v>
      </c>
      <c r="I12" s="269">
        <f>SUM(C12:H12)</f>
        <v>88555.25</v>
      </c>
      <c r="K12" s="560" t="s">
        <v>59</v>
      </c>
      <c r="L12" s="561"/>
      <c r="M12" s="105">
        <f>N6</f>
        <v>4134572.2899999996</v>
      </c>
      <c r="N12" s="114">
        <f>I12</f>
        <v>88555.25</v>
      </c>
      <c r="O12" s="267">
        <f>SUM(M12:N12)</f>
        <v>4223127.5399999991</v>
      </c>
    </row>
    <row r="13" spans="1:15" ht="37.5" customHeight="1" thickBot="1" x14ac:dyDescent="0.3">
      <c r="A13" s="83">
        <v>2</v>
      </c>
      <c r="B13" s="84" t="s">
        <v>60</v>
      </c>
      <c r="C13" s="101">
        <f>[12]STA_SP4_ZO!$H$51</f>
        <v>5953</v>
      </c>
      <c r="D13" s="202">
        <f>[13]STA_SP4_ZO!$H$51</f>
        <v>10235</v>
      </c>
      <c r="E13" s="103">
        <f>[14]STA_SP4_ZO!$H$51</f>
        <v>14284</v>
      </c>
      <c r="F13" s="102">
        <f>[15]STA_SP4_ZO!$H$51</f>
        <v>2179</v>
      </c>
      <c r="G13" s="104">
        <f>[16]STA_SP4_ZO!$H$51</f>
        <v>563.5</v>
      </c>
      <c r="H13" s="95">
        <f>[17]STA_SP4_ZO!$H$51</f>
        <v>293.94</v>
      </c>
      <c r="I13" s="270">
        <f>SUM(C13:H13)</f>
        <v>33508.44</v>
      </c>
      <c r="K13" s="562" t="s">
        <v>60</v>
      </c>
      <c r="L13" s="563"/>
      <c r="M13" s="106">
        <f>N7</f>
        <v>3006388.21</v>
      </c>
      <c r="N13" s="114">
        <f>I13</f>
        <v>33508.44</v>
      </c>
      <c r="O13" s="268">
        <f>SUM(M13:N13)</f>
        <v>3039896.65</v>
      </c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A2:L2"/>
    <mergeCell ref="K12:L12"/>
    <mergeCell ref="K13:L13"/>
    <mergeCell ref="B10:B11"/>
    <mergeCell ref="A10:A11"/>
    <mergeCell ref="B3:L3"/>
    <mergeCell ref="A4:A5"/>
    <mergeCell ref="B4:B5"/>
    <mergeCell ref="I10:I11"/>
    <mergeCell ref="C10:H10"/>
    <mergeCell ref="O10:O11"/>
    <mergeCell ref="K10:L11"/>
    <mergeCell ref="M10:M11"/>
    <mergeCell ref="N10:N11"/>
    <mergeCell ref="N4:N5"/>
  </mergeCells>
  <pageMargins left="0.25" right="0.25" top="0.75" bottom="0.75" header="0.3" footer="0.3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4" workbookViewId="0">
      <selection activeCell="B37" sqref="B37:M41"/>
    </sheetView>
  </sheetViews>
  <sheetFormatPr defaultRowHeight="15" x14ac:dyDescent="0.25"/>
  <cols>
    <col min="1" max="1" width="25.7109375" customWidth="1"/>
    <col min="12" max="12" width="10.5703125" customWidth="1"/>
    <col min="13" max="13" width="10.28515625" customWidth="1"/>
    <col min="14" max="14" width="11.5703125" customWidth="1"/>
  </cols>
  <sheetData>
    <row r="1" spans="1:13" ht="11.25" customHeight="1" thickBot="1" x14ac:dyDescent="0.3">
      <c r="A1" s="119"/>
      <c r="B1" s="119"/>
      <c r="C1" s="158" t="s">
        <v>118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5.75" thickBot="1" x14ac:dyDescent="0.3">
      <c r="A2" s="77"/>
      <c r="B2" s="78" t="s">
        <v>69</v>
      </c>
      <c r="C2" s="64" t="s">
        <v>4</v>
      </c>
      <c r="D2" s="65" t="s">
        <v>5</v>
      </c>
      <c r="E2" s="64" t="s">
        <v>6</v>
      </c>
      <c r="F2" s="64" t="s">
        <v>8</v>
      </c>
      <c r="G2" s="21" t="s">
        <v>94</v>
      </c>
      <c r="H2" s="64" t="s">
        <v>9</v>
      </c>
      <c r="I2" s="65" t="s">
        <v>10</v>
      </c>
      <c r="J2" s="64" t="s">
        <v>93</v>
      </c>
      <c r="K2" s="63" t="s">
        <v>11</v>
      </c>
      <c r="L2" s="271" t="s">
        <v>96</v>
      </c>
      <c r="M2" s="64" t="s">
        <v>3</v>
      </c>
    </row>
    <row r="3" spans="1:13" x14ac:dyDescent="0.25">
      <c r="A3" s="123" t="s">
        <v>70</v>
      </c>
      <c r="B3" s="75"/>
      <c r="C3" s="75"/>
      <c r="D3" s="76"/>
      <c r="E3" s="75"/>
      <c r="F3" s="75"/>
      <c r="G3" s="75"/>
      <c r="H3" s="75"/>
      <c r="I3" s="76"/>
      <c r="J3" s="75"/>
      <c r="K3" s="272"/>
      <c r="L3" s="76"/>
      <c r="M3" s="75"/>
    </row>
    <row r="4" spans="1:13" x14ac:dyDescent="0.25">
      <c r="A4" s="124" t="s">
        <v>76</v>
      </c>
      <c r="B4" s="149">
        <f>[1]STA_SP7_NO!$C$9</f>
        <v>9206</v>
      </c>
      <c r="C4" s="149">
        <f>[2]STA_SP7_NO!$C$9</f>
        <v>134858</v>
      </c>
      <c r="D4" s="150">
        <f>[3]STA_SP7_NO!$C$9</f>
        <v>10612</v>
      </c>
      <c r="E4" s="149">
        <f>[4]STA_SP7_NO!$C$9</f>
        <v>77961</v>
      </c>
      <c r="F4" s="149">
        <f>[5]STA_SP7_NO!$C$9</f>
        <v>130780</v>
      </c>
      <c r="G4" s="149">
        <f>[6]STA_SP7_NO!$C$9</f>
        <v>331</v>
      </c>
      <c r="H4" s="149">
        <f>[7]STA_SP7_NO!$C$9</f>
        <v>17717</v>
      </c>
      <c r="I4" s="149">
        <f>[8]STA_SP7_NO!$C$9</f>
        <v>82395</v>
      </c>
      <c r="J4" s="149">
        <f>[9]STA_SP7_NO!$C$9</f>
        <v>4487</v>
      </c>
      <c r="K4" s="149">
        <f>[10]STA_SP7_NO!$C$9</f>
        <v>79314</v>
      </c>
      <c r="L4" s="288">
        <f>[11]STA_SP7_NO!$C$9</f>
        <v>162</v>
      </c>
      <c r="M4" s="149">
        <f>SUM(B4:L4)</f>
        <v>547823</v>
      </c>
    </row>
    <row r="5" spans="1:13" x14ac:dyDescent="0.25">
      <c r="A5" s="124" t="s">
        <v>77</v>
      </c>
      <c r="B5" s="149">
        <f>[1]STA_SP7_NO!$D$9</f>
        <v>157132.95000000001</v>
      </c>
      <c r="C5" s="149">
        <f>[2]STA_SP7_NO!$D$9</f>
        <v>1029009.32</v>
      </c>
      <c r="D5" s="150">
        <f>[3]STA_SP7_NO!$D$9</f>
        <v>97703</v>
      </c>
      <c r="E5" s="149">
        <f>[4]STA_SP7_NO!$D$9</f>
        <v>613302.18999999994</v>
      </c>
      <c r="F5" s="149">
        <f>[5]STA_SP7_NO!$D$9</f>
        <v>1543384.89</v>
      </c>
      <c r="G5" s="149">
        <f>[6]STA_SP7_NO!$D$9</f>
        <v>1928</v>
      </c>
      <c r="H5" s="149">
        <f>[7]STA_SP7_NO!$D$9</f>
        <v>171348</v>
      </c>
      <c r="I5" s="149">
        <f>[8]STA_SP7_NO!$D$9</f>
        <v>472652</v>
      </c>
      <c r="J5" s="149">
        <f>[9]STA_SP7_NO!$D$9</f>
        <v>50651.32</v>
      </c>
      <c r="K5" s="149">
        <f>[10]STA_SP7_NO!$D$9</f>
        <v>629996</v>
      </c>
      <c r="L5" s="289">
        <f>[11]STA_SP7_NO!$D$9</f>
        <v>836.73</v>
      </c>
      <c r="M5" s="149">
        <f>SUM(B5:L5)</f>
        <v>4767944.4000000004</v>
      </c>
    </row>
    <row r="6" spans="1:13" x14ac:dyDescent="0.25">
      <c r="A6" s="124" t="s">
        <v>58</v>
      </c>
      <c r="B6" s="149">
        <f>[1]STA_SP7_NO!$E$9</f>
        <v>0</v>
      </c>
      <c r="C6" s="149">
        <f>[2]STA_SP7_NO!$E$9</f>
        <v>0</v>
      </c>
      <c r="D6" s="150">
        <f>[3]STA_SP7_NO!$E$9</f>
        <v>0</v>
      </c>
      <c r="E6" s="149">
        <f>[4]STA_SP7_NO!$E$9</f>
        <v>0</v>
      </c>
      <c r="F6" s="149">
        <f>[5]STA_SP7_NO!$E$9</f>
        <v>0</v>
      </c>
      <c r="G6" s="149">
        <f>[6]STA_SP7_NO!$F$9</f>
        <v>0</v>
      </c>
      <c r="H6" s="149">
        <f>[7]STA_SP7_NO!$E$9</f>
        <v>0</v>
      </c>
      <c r="I6" s="149">
        <f>[8]STA_SP7_NO!$E$9</f>
        <v>0</v>
      </c>
      <c r="J6" s="149">
        <f>[9]STA_SP7_NO!$E$9</f>
        <v>0</v>
      </c>
      <c r="K6" s="149">
        <f>[10]STA_SP7_NO!$E$9</f>
        <v>0</v>
      </c>
      <c r="L6" s="288">
        <f>[11]STA_SP7_NO!$E$9</f>
        <v>0</v>
      </c>
      <c r="M6" s="149">
        <f>SUM(B6:L6)</f>
        <v>0</v>
      </c>
    </row>
    <row r="7" spans="1:13" x14ac:dyDescent="0.25">
      <c r="A7" s="123" t="s">
        <v>71</v>
      </c>
      <c r="B7" s="75"/>
      <c r="C7" s="75"/>
      <c r="D7" s="76"/>
      <c r="E7" s="75"/>
      <c r="F7" s="75"/>
      <c r="G7" s="75"/>
      <c r="H7" s="75"/>
      <c r="I7" s="76"/>
      <c r="J7" s="75"/>
      <c r="K7" s="75"/>
      <c r="L7" s="76"/>
      <c r="M7" s="75"/>
    </row>
    <row r="8" spans="1:13" x14ac:dyDescent="0.25">
      <c r="A8" s="124" t="s">
        <v>76</v>
      </c>
      <c r="B8" s="149">
        <f>[1]STA_SP7_NO!$C$18</f>
        <v>20663</v>
      </c>
      <c r="C8" s="149">
        <f>[2]STA_SP7_NO!$C$18</f>
        <v>63020</v>
      </c>
      <c r="D8" s="150">
        <f>[3]STA_SP7_NO!$C$18</f>
        <v>12894</v>
      </c>
      <c r="E8" s="149">
        <f>[4]STA_SP7_NO!$C$18</f>
        <v>27577</v>
      </c>
      <c r="F8" s="149">
        <f>[5]STA_SP7_NO!$C$18</f>
        <v>23812</v>
      </c>
      <c r="G8" s="149">
        <f>[6]STA_SP7_NO!$C$18</f>
        <v>62518</v>
      </c>
      <c r="H8" s="149">
        <f>[7]STA_SP7_NO!$C$18</f>
        <v>86081</v>
      </c>
      <c r="I8" s="149">
        <f>[8]STA_SP7_NO!$C$18</f>
        <v>25967</v>
      </c>
      <c r="J8" s="149">
        <f>[9]STA_SP7_NO!$C$18</f>
        <v>11043</v>
      </c>
      <c r="K8" s="149">
        <f>[10]STA_SP7_NO!$C$18</f>
        <v>55957</v>
      </c>
      <c r="L8" s="289">
        <f>[11]STA_SP7_NO!$C$18</f>
        <v>4035</v>
      </c>
      <c r="M8" s="149">
        <f>SUM(B8:L8)</f>
        <v>393567</v>
      </c>
    </row>
    <row r="9" spans="1:13" x14ac:dyDescent="0.25">
      <c r="A9" s="124" t="s">
        <v>77</v>
      </c>
      <c r="B9" s="149">
        <f>[1]STA_SP7_NO!$D$18</f>
        <v>400288.4</v>
      </c>
      <c r="C9" s="149">
        <f>[2]STA_SP7_NO!$D18</f>
        <v>295712.40000000002</v>
      </c>
      <c r="D9" s="150">
        <f>[3]STA_SP7_NO!$D$18</f>
        <v>122069</v>
      </c>
      <c r="E9" s="149">
        <f>[4]STA_SP7_NO!$D$18</f>
        <v>215539.69</v>
      </c>
      <c r="F9" s="149">
        <f>[5]STA_SP7_NO!$D$18</f>
        <v>251346.89</v>
      </c>
      <c r="G9" s="149">
        <f>[6]STA_SP7_NO!$D$18</f>
        <v>316706</v>
      </c>
      <c r="H9" s="149">
        <f>[7]STA_SP7_NO!$D$18</f>
        <v>742356</v>
      </c>
      <c r="I9" s="149">
        <f>[8]STA_SP7_NO!$D$18</f>
        <v>164682</v>
      </c>
      <c r="J9" s="149">
        <f>[9]STA_SP7_NO!$D$18</f>
        <v>133478.95000000001</v>
      </c>
      <c r="K9" s="149">
        <f>[10]STA_SP7_NO!$D$18</f>
        <v>397889</v>
      </c>
      <c r="L9" s="289">
        <f>[11]STA_SP7_NO!$D$18</f>
        <v>27265.73</v>
      </c>
      <c r="M9" s="149">
        <f>SUM(B9:L9)</f>
        <v>3067334.06</v>
      </c>
    </row>
    <row r="10" spans="1:13" x14ac:dyDescent="0.25">
      <c r="A10" s="124" t="s">
        <v>58</v>
      </c>
      <c r="B10" s="149">
        <f>[1]STA_SP7_NO!$E$18</f>
        <v>81677.52</v>
      </c>
      <c r="C10" s="149">
        <f>[2]STA_SP7_NO!$E$18</f>
        <v>70127.17</v>
      </c>
      <c r="D10" s="150">
        <f>[3]STA_SP7_NO!$E$18</f>
        <v>44619</v>
      </c>
      <c r="E10" s="149">
        <f>[4]STA_SP7_NO!$E$18</f>
        <v>42816.37</v>
      </c>
      <c r="F10" s="149">
        <f>[5]STA_SP7_NO!$E$18</f>
        <v>59508.44</v>
      </c>
      <c r="G10" s="149">
        <f>[6]STA_SP7_NO!$E$18</f>
        <v>96172</v>
      </c>
      <c r="H10" s="149">
        <f>[7]STA_SP7_NO!$E$18</f>
        <v>194510</v>
      </c>
      <c r="I10" s="149">
        <f>[8]STA_SP7_NO!$E$18</f>
        <v>43004.3</v>
      </c>
      <c r="J10" s="149">
        <f>[9]STA_SP7_NO!$E$18</f>
        <v>29933</v>
      </c>
      <c r="K10" s="149">
        <f>[10]STA_SP7_NO!$E$18</f>
        <v>113175</v>
      </c>
      <c r="L10" s="289">
        <f>[11]STA_SP7_NO!$E$18</f>
        <v>1292.9100000000001</v>
      </c>
      <c r="M10" s="149">
        <f>SUM(B10:L10)</f>
        <v>776835.71000000008</v>
      </c>
    </row>
    <row r="11" spans="1:13" x14ac:dyDescent="0.25">
      <c r="A11" s="123" t="s">
        <v>72</v>
      </c>
      <c r="B11" s="75"/>
      <c r="C11" s="75"/>
      <c r="D11" s="76"/>
      <c r="E11" s="75"/>
      <c r="F11" s="75"/>
      <c r="G11" s="75"/>
      <c r="H11" s="75"/>
      <c r="I11" s="76"/>
      <c r="J11" s="75"/>
      <c r="K11" s="75"/>
      <c r="L11" s="76"/>
      <c r="M11" s="75"/>
    </row>
    <row r="12" spans="1:13" x14ac:dyDescent="0.25">
      <c r="A12" s="124" t="s">
        <v>76</v>
      </c>
      <c r="B12" s="149">
        <f>[1]STA_SP7_NO!$C$19</f>
        <v>52261</v>
      </c>
      <c r="C12" s="149">
        <f>[2]STA_SP7_NO!$C$19</f>
        <v>8</v>
      </c>
      <c r="D12" s="150">
        <f>[3]STA_SP7_NO!$C$19</f>
        <v>13499</v>
      </c>
      <c r="E12" s="149">
        <f>[4]STA_SP7_NO!$C$19</f>
        <v>3661</v>
      </c>
      <c r="F12" s="149">
        <f>[5]STA_SP7_NO!$C$19</f>
        <v>0</v>
      </c>
      <c r="G12" s="149">
        <f>[6]STA_SP7_NO!$C$19</f>
        <v>1215</v>
      </c>
      <c r="H12" s="149">
        <f>[7]STA_SP7_NO!$C$19</f>
        <v>15772</v>
      </c>
      <c r="I12" s="149">
        <f>[8]STA_SP7_NO!$C$19</f>
        <v>3130</v>
      </c>
      <c r="J12" s="149">
        <f>[9]STA_SP7_NO!$C$19</f>
        <v>0</v>
      </c>
      <c r="K12" s="149">
        <f>[10]STA_SP7_NO!$C$19</f>
        <v>0</v>
      </c>
      <c r="L12" s="289">
        <f>[11]STA_SP7_NO!$C$19</f>
        <v>0</v>
      </c>
      <c r="M12" s="149">
        <f>SUM(B12:L12)</f>
        <v>89546</v>
      </c>
    </row>
    <row r="13" spans="1:13" x14ac:dyDescent="0.25">
      <c r="A13" s="124" t="s">
        <v>77</v>
      </c>
      <c r="B13" s="149">
        <f>[1]STA_SP7_NO!$D$19</f>
        <v>580660.06000000006</v>
      </c>
      <c r="C13" s="149">
        <f>[2]STA_SP7_NO!$D$19</f>
        <v>93.97</v>
      </c>
      <c r="D13" s="150">
        <f>[3]STA_SP7_NO!$D$19</f>
        <v>67379</v>
      </c>
      <c r="E13" s="149">
        <f>[4]STA_SP7_NO!$D$19</f>
        <v>14586.32</v>
      </c>
      <c r="F13" s="149">
        <f>[5]STA_SP7_NO!$D$19</f>
        <v>0</v>
      </c>
      <c r="G13" s="149">
        <f>[6]STA_SP7_NO!$D$19</f>
        <v>6585</v>
      </c>
      <c r="H13" s="149">
        <f>[7]STA_SP7_NO!$D$19</f>
        <v>78843</v>
      </c>
      <c r="I13" s="149">
        <f>[8]STA_SP7_NO!$D$19</f>
        <v>15295</v>
      </c>
      <c r="J13" s="149">
        <f>[9]STA_SP7_NO!$D$19</f>
        <v>0</v>
      </c>
      <c r="K13" s="149">
        <f>[10]STA_SP7_NO!$D$19</f>
        <v>0</v>
      </c>
      <c r="L13" s="289">
        <f>[11]STA_SP7_NO!$D$19</f>
        <v>0</v>
      </c>
      <c r="M13" s="149">
        <f>SUM(B13:L13)</f>
        <v>763442.35</v>
      </c>
    </row>
    <row r="14" spans="1:13" x14ac:dyDescent="0.25">
      <c r="A14" s="124" t="s">
        <v>58</v>
      </c>
      <c r="B14" s="149">
        <f>[1]STA_SP7_NO!$E$19</f>
        <v>120394.91</v>
      </c>
      <c r="C14" s="149">
        <f>[2]STA_SP7_NO!$E$19</f>
        <v>75.03</v>
      </c>
      <c r="D14" s="150">
        <f>[3]STA_SP7_NO!$E$19</f>
        <v>20157</v>
      </c>
      <c r="E14" s="149">
        <f>[4]STA_SP7_NO!$E$19</f>
        <v>3412.4</v>
      </c>
      <c r="F14" s="149">
        <f>[5]STA_SP7_NO!$E$19</f>
        <v>0</v>
      </c>
      <c r="G14" s="149">
        <f>[6]STA_SP7_NO!$E$19</f>
        <v>2258</v>
      </c>
      <c r="H14" s="149">
        <f>[7]STA_SP7_NO!$E$19</f>
        <v>23806</v>
      </c>
      <c r="I14" s="149">
        <f>[8]STA_SP7_NO!$E$19</f>
        <v>5230.59</v>
      </c>
      <c r="J14" s="149">
        <f>[9]STA_SP7_NO!$E$19</f>
        <v>0</v>
      </c>
      <c r="K14" s="149">
        <f>[10]STA_SP7_NO!$E$19</f>
        <v>0</v>
      </c>
      <c r="L14" s="289">
        <f>[11]STA_SP7_NO!$E$19</f>
        <v>0</v>
      </c>
      <c r="M14" s="149">
        <f>SUM(B14:L14)</f>
        <v>175333.93</v>
      </c>
    </row>
    <row r="15" spans="1:13" x14ac:dyDescent="0.25">
      <c r="A15" s="123" t="s">
        <v>73</v>
      </c>
      <c r="B15" s="75"/>
      <c r="C15" s="75"/>
      <c r="D15" s="76"/>
      <c r="E15" s="75"/>
      <c r="F15" s="75"/>
      <c r="G15" s="75"/>
      <c r="H15" s="75"/>
      <c r="I15" s="76"/>
      <c r="J15" s="75"/>
      <c r="K15" s="75"/>
      <c r="L15" s="76"/>
      <c r="M15" s="75"/>
    </row>
    <row r="16" spans="1:13" x14ac:dyDescent="0.25">
      <c r="A16" s="124" t="s">
        <v>76</v>
      </c>
      <c r="B16" s="149">
        <f>[1]STA_SP7_NO!$C$20</f>
        <v>1684</v>
      </c>
      <c r="C16" s="149">
        <f>[2]STA_SP7_NO!$C$20</f>
        <v>4135</v>
      </c>
      <c r="D16" s="150">
        <f>[3]STA_SP7_NO!$C$20</f>
        <v>2</v>
      </c>
      <c r="E16" s="149">
        <f>[4]STA_SP7_NO!$C$20</f>
        <v>4209</v>
      </c>
      <c r="F16" s="149">
        <f>[5]STA_SP7_NO!$C$20</f>
        <v>21287</v>
      </c>
      <c r="G16" s="149">
        <f>[6]STA_SP7_NO!$C$20</f>
        <v>374</v>
      </c>
      <c r="H16" s="149">
        <f>[7]STA_SP7_NO!$C$20</f>
        <v>2392</v>
      </c>
      <c r="I16" s="149">
        <f>[8]STA_SP7_NO!$C$20</f>
        <v>1272</v>
      </c>
      <c r="J16" s="149">
        <f>[9]STA_SP7_NO!$C$20</f>
        <v>120</v>
      </c>
      <c r="K16" s="149">
        <f>[10]STA_SP7_NO!$C$20</f>
        <v>328</v>
      </c>
      <c r="L16" s="289">
        <f>[11]STA_SP7_NO!$C$20</f>
        <v>0</v>
      </c>
      <c r="M16" s="149">
        <f>SUM(B16:L16)</f>
        <v>35803</v>
      </c>
    </row>
    <row r="17" spans="1:13" x14ac:dyDescent="0.25">
      <c r="A17" s="124" t="s">
        <v>77</v>
      </c>
      <c r="B17" s="149">
        <f>[1]STA_SP7_NO!$D$20</f>
        <v>589.03</v>
      </c>
      <c r="C17" s="149">
        <f>[2]STA_SP7_NO!$D$20</f>
        <v>2640.29</v>
      </c>
      <c r="D17" s="150">
        <f>[3]STA_SP7_NO!$D$20</f>
        <v>2</v>
      </c>
      <c r="E17" s="149">
        <f>[4]STA_SP7_NO!$D$20</f>
        <v>2643.42</v>
      </c>
      <c r="F17" s="149">
        <f>[5]STA_SP7_NO!$D$20</f>
        <v>9716.2900000000009</v>
      </c>
      <c r="G17" s="149">
        <f>[6]STA_SP7_NO!$D$20</f>
        <v>177</v>
      </c>
      <c r="H17" s="149">
        <f>[7]STA_SP7_NO!$D$20</f>
        <v>1019</v>
      </c>
      <c r="I17" s="149">
        <f>[8]STA_SP7_NO!$D$20</f>
        <v>899</v>
      </c>
      <c r="J17" s="149">
        <f>[9]STA_SP7_NO!$D$20</f>
        <v>35.58</v>
      </c>
      <c r="K17" s="149">
        <f>[10]STA_SP7_NO!$D$20</f>
        <v>617</v>
      </c>
      <c r="L17" s="289">
        <f>[11]STA_SP7_NO!$D$20</f>
        <v>0</v>
      </c>
      <c r="M17" s="149">
        <f>SUM(B17:L17)</f>
        <v>18338.61</v>
      </c>
    </row>
    <row r="18" spans="1:13" x14ac:dyDescent="0.25">
      <c r="A18" s="124" t="s">
        <v>58</v>
      </c>
      <c r="B18" s="149">
        <f>[1]STA_SP7_NO!$E$20</f>
        <v>176.65</v>
      </c>
      <c r="C18" s="149">
        <f>[2]STA_SP7_NO!$E$20</f>
        <v>523.91</v>
      </c>
      <c r="D18" s="150">
        <f>[3]STA_SP7_NO!$E$20</f>
        <v>1</v>
      </c>
      <c r="E18" s="149">
        <f>[4]STA_SP7_NO!$E$20</f>
        <v>793.02</v>
      </c>
      <c r="F18" s="149">
        <f>[5]STA_SP7_NO!$E$20</f>
        <v>3184.35</v>
      </c>
      <c r="G18" s="149">
        <f>[6]STA_SP7_NO!$E$20</f>
        <v>1</v>
      </c>
      <c r="H18" s="149">
        <f>[7]STA_SP7_NO!$E$20</f>
        <v>0</v>
      </c>
      <c r="I18" s="149">
        <f>[8]STA_SP7_NO!$E$20</f>
        <v>242.56</v>
      </c>
      <c r="J18" s="149">
        <f>[9]STA_SP7_NO!$E$20</f>
        <v>13</v>
      </c>
      <c r="K18" s="149">
        <f>[10]STA_SP7_NO!$E$20</f>
        <v>211</v>
      </c>
      <c r="L18" s="289">
        <f>[11]STA_SP7_NO!$E$20</f>
        <v>0</v>
      </c>
      <c r="M18" s="149">
        <f>SUM(B18:L18)</f>
        <v>5146.4900000000007</v>
      </c>
    </row>
    <row r="19" spans="1:13" x14ac:dyDescent="0.25">
      <c r="A19" s="123" t="s">
        <v>74</v>
      </c>
      <c r="B19" s="75"/>
      <c r="C19" s="75"/>
      <c r="D19" s="76"/>
      <c r="E19" s="75"/>
      <c r="F19" s="75"/>
      <c r="G19" s="75"/>
      <c r="H19" s="75"/>
      <c r="I19" s="76"/>
      <c r="J19" s="75"/>
      <c r="K19" s="75"/>
      <c r="L19" s="76"/>
      <c r="M19" s="75"/>
    </row>
    <row r="20" spans="1:13" x14ac:dyDescent="0.25">
      <c r="A20" s="124" t="s">
        <v>76</v>
      </c>
      <c r="B20" s="149">
        <f>[1]STA_SP7_NO!$C$21</f>
        <v>0</v>
      </c>
      <c r="C20" s="149">
        <f>[2]STA_SP7_NO!$C$21</f>
        <v>0</v>
      </c>
      <c r="D20" s="150">
        <f>[3]STA_SP7_NO!$C$21</f>
        <v>753</v>
      </c>
      <c r="E20" s="149">
        <f>[4]STA_SP7_NO!$C$21</f>
        <v>0</v>
      </c>
      <c r="F20" s="149">
        <f>[5]STA_SP7_NO!$C$21</f>
        <v>0</v>
      </c>
      <c r="G20" s="149">
        <f>[6]STA_SP7_NO!$C$21</f>
        <v>0</v>
      </c>
      <c r="H20" s="149">
        <f>[7]STA_SP7_NO!$C$21</f>
        <v>0</v>
      </c>
      <c r="I20" s="149">
        <f>[8]STA_SP7_NO!$C$21</f>
        <v>0</v>
      </c>
      <c r="J20" s="149">
        <f>[9]STA_SP7_NO!$C$21</f>
        <v>0</v>
      </c>
      <c r="K20" s="149">
        <f>[10]STA_SP7_NO!$C$21</f>
        <v>0</v>
      </c>
      <c r="L20" s="289">
        <f>[11]STA_SP7_NO!$C$21</f>
        <v>0</v>
      </c>
      <c r="M20" s="149">
        <f>SUM(B20:L20)</f>
        <v>753</v>
      </c>
    </row>
    <row r="21" spans="1:13" x14ac:dyDescent="0.25">
      <c r="A21" s="124" t="s">
        <v>77</v>
      </c>
      <c r="B21" s="149">
        <f>[1]STA_SP7_NO!$D$21</f>
        <v>0</v>
      </c>
      <c r="C21" s="149">
        <f>[2]STA_SP7_NO!$D$21</f>
        <v>0</v>
      </c>
      <c r="D21" s="150">
        <f>[3]STA_SP7_NO!$D$21</f>
        <v>9907</v>
      </c>
      <c r="E21" s="149">
        <f>[4]STA_SP7_NO!$D$21</f>
        <v>0</v>
      </c>
      <c r="F21" s="149">
        <f>[5]STA_SP7_NO!$D$21</f>
        <v>0</v>
      </c>
      <c r="G21" s="149">
        <f>[6]STA_SP7_NO!$D$21</f>
        <v>0</v>
      </c>
      <c r="H21" s="149">
        <f>[7]STA_SP7_NO!$D$21</f>
        <v>0</v>
      </c>
      <c r="I21" s="149">
        <f>[8]STA_SP7_NO!$D$21</f>
        <v>0</v>
      </c>
      <c r="J21" s="149">
        <f>[9]STA_SP7_NO!$D$21</f>
        <v>0</v>
      </c>
      <c r="K21" s="149">
        <f>[10]STA_SP7_NO!$D$21</f>
        <v>0</v>
      </c>
      <c r="L21" s="289">
        <f>[11]STA_SP7_NO!$D$21</f>
        <v>0</v>
      </c>
      <c r="M21" s="149">
        <f>SUM(B21:L21)</f>
        <v>9907</v>
      </c>
    </row>
    <row r="22" spans="1:13" ht="12.75" customHeight="1" x14ac:dyDescent="0.25">
      <c r="A22" s="124" t="s">
        <v>58</v>
      </c>
      <c r="B22" s="149">
        <f>[1]STA_SP7_NO!$E$21</f>
        <v>0</v>
      </c>
      <c r="C22" s="149">
        <f>[2]STA_SP7_NO!$E$21</f>
        <v>0</v>
      </c>
      <c r="D22" s="150">
        <f>[3]STA_SP7_NO!$E$21</f>
        <v>1486</v>
      </c>
      <c r="E22" s="149">
        <f>[4]STA_SP7_NO!$E$21</f>
        <v>0</v>
      </c>
      <c r="F22" s="149">
        <f>[5]STA_SP7_NO!$E$21</f>
        <v>0</v>
      </c>
      <c r="G22" s="149">
        <f>[6]STA_SP7_NO!$E$21</f>
        <v>0</v>
      </c>
      <c r="H22" s="149">
        <f>[7]STA_SP7_NO!$E$21</f>
        <v>0</v>
      </c>
      <c r="I22" s="149">
        <f>[8]STA_SP7_NO!$E$21</f>
        <v>0</v>
      </c>
      <c r="J22" s="149">
        <f>[9]STA_SP7_NO!$E$21</f>
        <v>0</v>
      </c>
      <c r="K22" s="149">
        <f>[10]STA_SP7_NO!$E$21</f>
        <v>0</v>
      </c>
      <c r="L22" s="289">
        <f>[11]STA_SP7_NO!$E$21</f>
        <v>0</v>
      </c>
      <c r="M22" s="149">
        <f>SUM(B22:L22)</f>
        <v>1486</v>
      </c>
    </row>
    <row r="23" spans="1:13" x14ac:dyDescent="0.25">
      <c r="A23" s="123" t="s">
        <v>75</v>
      </c>
      <c r="B23" s="75"/>
      <c r="C23" s="75"/>
      <c r="D23" s="76"/>
      <c r="E23" s="75"/>
      <c r="F23" s="75"/>
      <c r="G23" s="75"/>
      <c r="H23" s="75"/>
      <c r="I23" s="76"/>
      <c r="J23" s="75"/>
      <c r="K23" s="75"/>
      <c r="L23" s="76"/>
      <c r="M23" s="75"/>
    </row>
    <row r="24" spans="1:13" x14ac:dyDescent="0.25">
      <c r="A24" s="124" t="s">
        <v>76</v>
      </c>
      <c r="B24" s="149">
        <f>[1]STA_SP7_NO!$C$22</f>
        <v>3230</v>
      </c>
      <c r="C24" s="149">
        <f>[2]STA_SP7_NO!$C$22</f>
        <v>8808</v>
      </c>
      <c r="D24" s="150">
        <f>[3]STA_SP7_NO!$C$22</f>
        <v>2241</v>
      </c>
      <c r="E24" s="149">
        <f>[4]STA_SP7_NO!$C$22</f>
        <v>36813</v>
      </c>
      <c r="F24" s="149">
        <f>[5]STA_SP7_NO!$C$22</f>
        <v>0</v>
      </c>
      <c r="G24" s="149">
        <f>[6]STA_SP7_NO!$C$22</f>
        <v>0</v>
      </c>
      <c r="H24" s="149">
        <f>[7]STA_SP7_NO!$C$22</f>
        <v>12</v>
      </c>
      <c r="I24" s="149">
        <f>[8]STA_SP7_NO!$C$22</f>
        <v>918</v>
      </c>
      <c r="J24" s="149">
        <f>[9]STA_SP7_NO!$C$22</f>
        <v>39762</v>
      </c>
      <c r="K24" s="149">
        <f>[10]STA_SP7_NO!$C$22</f>
        <v>54128</v>
      </c>
      <c r="L24" s="289">
        <f>[11]STA_SP7_NO!$C$22</f>
        <v>0</v>
      </c>
      <c r="M24" s="149">
        <f>SUM(B24:L24)</f>
        <v>145912</v>
      </c>
    </row>
    <row r="25" spans="1:13" x14ac:dyDescent="0.25">
      <c r="A25" s="124" t="s">
        <v>77</v>
      </c>
      <c r="B25" s="149">
        <f>[1]STA_SP7_NO!$D$22</f>
        <v>51537.94</v>
      </c>
      <c r="C25" s="149">
        <f>[2]STA_SP7_NO!$D$22</f>
        <v>25582.720000000001</v>
      </c>
      <c r="D25" s="150">
        <f>[3]STA_SP7_NO!$D$22</f>
        <v>4732</v>
      </c>
      <c r="E25" s="149">
        <f>[4]STA_SP7_NO!$D$22</f>
        <v>48691.56</v>
      </c>
      <c r="F25" s="149">
        <f>[5]STA_SP7_NO!$D$22</f>
        <v>0</v>
      </c>
      <c r="G25" s="149">
        <f>[6]STA_SP7_NO!$D$22</f>
        <v>0</v>
      </c>
      <c r="H25" s="149">
        <f>[7]STA_SP7_NO!$D$22</f>
        <v>137</v>
      </c>
      <c r="I25" s="149">
        <f>[8]STA_SP7_NO!$D$22</f>
        <v>3567</v>
      </c>
      <c r="J25" s="149">
        <f>[9]STA_SP7_NO!$D$22</f>
        <v>360341.95</v>
      </c>
      <c r="K25" s="149">
        <f>[10]STA_SP7_NO!$D$22</f>
        <v>71889</v>
      </c>
      <c r="L25" s="289">
        <f>[11]STA_SP7_NO!$D$22</f>
        <v>0</v>
      </c>
      <c r="M25" s="149">
        <f>SUM(B25:L25)</f>
        <v>566479.17000000004</v>
      </c>
    </row>
    <row r="26" spans="1:13" x14ac:dyDescent="0.25">
      <c r="A26" s="124" t="s">
        <v>58</v>
      </c>
      <c r="B26" s="149">
        <f>[1]STA_SP7_NO!$E$22</f>
        <v>10889.57</v>
      </c>
      <c r="C26" s="149">
        <f>[2]STA_SP7_NO!$E$22</f>
        <v>6951.86</v>
      </c>
      <c r="D26" s="150">
        <f>[3]STA_SP7_NO!$E$22</f>
        <v>1402</v>
      </c>
      <c r="E26" s="149">
        <f>[4]STA_SP7_NO!$E$22</f>
        <v>14809.51</v>
      </c>
      <c r="F26" s="149">
        <f>[5]STA_SP7_NO!$E$22</f>
        <v>0</v>
      </c>
      <c r="G26" s="149">
        <f>[6]STA_SP7_NO!$E$22</f>
        <v>0</v>
      </c>
      <c r="H26" s="149">
        <f>[7]STA_SP7_NO!$E$22</f>
        <v>0</v>
      </c>
      <c r="I26" s="149">
        <f>[8]STA_SP7_NO!$E$22</f>
        <v>0</v>
      </c>
      <c r="J26" s="149">
        <f>[9]STA_SP7_NO!$E$22</f>
        <v>36913</v>
      </c>
      <c r="K26" s="149">
        <f>[10]STA_SP7_NO!$E$22</f>
        <v>28028</v>
      </c>
      <c r="L26" s="289">
        <f>[11]STA_SP7_NO!$E$22</f>
        <v>0</v>
      </c>
      <c r="M26" s="149">
        <f>SUM(B26:L26)</f>
        <v>98993.94</v>
      </c>
    </row>
    <row r="27" spans="1:13" x14ac:dyDescent="0.25">
      <c r="A27" s="123" t="s">
        <v>78</v>
      </c>
      <c r="B27" s="75"/>
      <c r="C27" s="75"/>
      <c r="D27" s="76"/>
      <c r="E27" s="75"/>
      <c r="F27" s="75"/>
      <c r="G27" s="75"/>
      <c r="H27" s="75"/>
      <c r="I27" s="76"/>
      <c r="J27" s="75"/>
      <c r="K27" s="75"/>
      <c r="L27" s="76"/>
      <c r="M27" s="75"/>
    </row>
    <row r="28" spans="1:13" x14ac:dyDescent="0.25">
      <c r="A28" s="124" t="s">
        <v>76</v>
      </c>
      <c r="B28" s="149">
        <f>[1]STA_SP7_NO!$C$29</f>
        <v>88059</v>
      </c>
      <c r="C28" s="149">
        <f>[2]STA_SP7_NO!$C$29</f>
        <v>7825</v>
      </c>
      <c r="D28" s="150">
        <f>[3]STA_SP7_NO!$C$29</f>
        <v>4936</v>
      </c>
      <c r="E28" s="149">
        <f>[4]STA_SP7_NO!$C$29</f>
        <v>33051</v>
      </c>
      <c r="F28" s="149">
        <f>[5]STA_SP7_NO!$C$29</f>
        <v>5204</v>
      </c>
      <c r="G28" s="149">
        <f>[6]STA_SP7_NO!$C$29</f>
        <v>43630</v>
      </c>
      <c r="H28" s="149">
        <f>[7]STA_SP7_NO!$C$29</f>
        <v>78803</v>
      </c>
      <c r="I28" s="149">
        <f>[8]STA_SP7_NO!$C$29</f>
        <v>9147</v>
      </c>
      <c r="J28" s="149">
        <f>[9]STA_SP7_NO!$C$29</f>
        <v>56198</v>
      </c>
      <c r="K28" s="149">
        <f>[10]STA_SP7_NO!$C$29</f>
        <v>3910</v>
      </c>
      <c r="L28" s="289">
        <f>[11]STA_SP7_NO!$C$29</f>
        <v>0</v>
      </c>
      <c r="M28" s="149">
        <f>SUM(B28:L28)</f>
        <v>330763</v>
      </c>
    </row>
    <row r="29" spans="1:13" x14ac:dyDescent="0.25">
      <c r="A29" s="124" t="s">
        <v>77</v>
      </c>
      <c r="B29" s="149">
        <f>[1]STA_SP7_NO!$D$29</f>
        <v>554596.28</v>
      </c>
      <c r="C29" s="149">
        <f>[2]STA_SP7_NO!$D$29</f>
        <v>41153.01</v>
      </c>
      <c r="D29" s="150">
        <f>[3]STA_SP7_NO!$D$29</f>
        <v>24512</v>
      </c>
      <c r="E29" s="149">
        <f>[4]STA_SP7_NO!$D$29</f>
        <v>225575.25</v>
      </c>
      <c r="F29" s="149">
        <f>[5]STA_SP7_NO!$D$29</f>
        <v>42462.62</v>
      </c>
      <c r="G29" s="149">
        <f>[6]STA_SP7_NO!$D$29</f>
        <v>231720</v>
      </c>
      <c r="H29" s="149">
        <f>[7]STA_SP7_NO!$D$29</f>
        <v>444404</v>
      </c>
      <c r="I29" s="149">
        <f>[8]STA_SP7_NO!$D$29</f>
        <v>54214</v>
      </c>
      <c r="J29" s="149">
        <f>[9]STA_SP7_NO!$D$29</f>
        <v>342750.57</v>
      </c>
      <c r="K29" s="149">
        <f>[10]STA_SP7_NO!$D$29</f>
        <v>58908</v>
      </c>
      <c r="L29" s="289">
        <f>[11]STA_SP7_NO!$D$29</f>
        <v>0</v>
      </c>
      <c r="M29" s="149">
        <f>SUM(B29:L29)</f>
        <v>2020295.7300000002</v>
      </c>
    </row>
    <row r="30" spans="1:13" x14ac:dyDescent="0.25">
      <c r="A30" s="124" t="s">
        <v>58</v>
      </c>
      <c r="B30" s="149">
        <f>[1]STA_SP7_NO!$E$29</f>
        <v>151491.09</v>
      </c>
      <c r="C30" s="149">
        <f>[2]STA_SP7_NO!$E$29</f>
        <v>8101.62</v>
      </c>
      <c r="D30" s="150">
        <f>[3]STA_SP7_NO!$E$29</f>
        <v>4633</v>
      </c>
      <c r="E30" s="149">
        <f>[4]STA_SP7_NO!$E$29</f>
        <v>42892.4</v>
      </c>
      <c r="F30" s="149">
        <f>[5]STA_SP7_NO!$E$29</f>
        <v>10305.69</v>
      </c>
      <c r="G30" s="149">
        <f>[6]STA_SP7_NO!$E$29</f>
        <v>60818</v>
      </c>
      <c r="H30" s="149">
        <f>[7]STA_SP7_NO!$E$29</f>
        <v>128381</v>
      </c>
      <c r="I30" s="149">
        <f>[8]STA_SP7_NO!$E$29</f>
        <v>10097.86</v>
      </c>
      <c r="J30" s="149">
        <f>[9]STA_SP7_NO!$E$29</f>
        <v>1221</v>
      </c>
      <c r="K30" s="149">
        <f>[10]STA_SP7_NO!$E$29</f>
        <v>35892.629999999997</v>
      </c>
      <c r="L30" s="289">
        <f>[11]STA_SP7_NO!$E$29</f>
        <v>0</v>
      </c>
      <c r="M30" s="149">
        <f>SUM(B30:L30)</f>
        <v>453834.29</v>
      </c>
    </row>
    <row r="31" spans="1:13" ht="12" customHeight="1" x14ac:dyDescent="0.25">
      <c r="A31" s="123" t="s">
        <v>79</v>
      </c>
      <c r="B31" s="123"/>
      <c r="C31" s="75"/>
      <c r="D31" s="76"/>
      <c r="E31" s="75"/>
      <c r="F31" s="75"/>
      <c r="G31" s="75"/>
      <c r="H31" s="75"/>
      <c r="I31" s="76"/>
      <c r="J31" s="75"/>
      <c r="K31" s="75"/>
      <c r="L31" s="76"/>
      <c r="M31" s="75"/>
    </row>
    <row r="32" spans="1:13" x14ac:dyDescent="0.25">
      <c r="A32" s="124" t="s">
        <v>76</v>
      </c>
      <c r="B32" s="149">
        <f>[1]STA_SP7_NO!$C$38</f>
        <v>0</v>
      </c>
      <c r="C32" s="149">
        <f>[2]STA_SP7_NO!$C$38</f>
        <v>0</v>
      </c>
      <c r="D32" s="150">
        <f>[3]STA_SP7_NO!$C$38</f>
        <v>57884</v>
      </c>
      <c r="E32" s="149">
        <f>[4]STA_SP7_NO!$C$38</f>
        <v>27373</v>
      </c>
      <c r="F32" s="149">
        <f>[5]STA_SP7_NO!$C$38</f>
        <v>30</v>
      </c>
      <c r="G32" s="149">
        <f>[6]STA_SP7_NO!$C$38</f>
        <v>0</v>
      </c>
      <c r="H32" s="149">
        <f>[7]STA_SP7_NO!$C$38</f>
        <v>0</v>
      </c>
      <c r="I32" s="149">
        <f>[8]STA_SP7_NO!$C$38</f>
        <v>0</v>
      </c>
      <c r="J32" s="149">
        <f>[9]STA_SP7_NO!$C$38</f>
        <v>0</v>
      </c>
      <c r="K32" s="149">
        <f>[10]STA_SP7_NO!$C$38</f>
        <v>788</v>
      </c>
      <c r="L32" s="289">
        <f>[11]STA_SP7_NO!$C$38</f>
        <v>0</v>
      </c>
      <c r="M32" s="149">
        <f>SUM(B32:L32)</f>
        <v>86075</v>
      </c>
    </row>
    <row r="33" spans="1:13" ht="12.75" customHeight="1" x14ac:dyDescent="0.25">
      <c r="A33" s="124" t="s">
        <v>77</v>
      </c>
      <c r="B33" s="149">
        <f>[1]STA_SP7_NO!$D$38</f>
        <v>0</v>
      </c>
      <c r="C33" s="149">
        <f>[2]STA_SP7_NO!$D$38</f>
        <v>0</v>
      </c>
      <c r="D33" s="150">
        <f>[3]STA_SP7_NO!$D$38</f>
        <v>270691</v>
      </c>
      <c r="E33" s="149">
        <f>[4]STA_SP7_NO!$D$38</f>
        <v>20543.669999999998</v>
      </c>
      <c r="F33" s="149">
        <f>[5]STA_SP7_NO!$D$38</f>
        <v>185.54</v>
      </c>
      <c r="G33" s="149">
        <f>[6]STA_SP7_NO!$D$38</f>
        <v>0</v>
      </c>
      <c r="H33" s="149">
        <f>[7]STA_SP7_NO!$D$38</f>
        <v>0</v>
      </c>
      <c r="I33" s="149">
        <f>[8]STA_SP7_NO!$D$38</f>
        <v>0</v>
      </c>
      <c r="J33" s="149">
        <f>[9]STA_SP7_NO!$D$38</f>
        <v>0</v>
      </c>
      <c r="K33" s="149">
        <f>[10]STA_SP7_NO!$D$38</f>
        <v>12544</v>
      </c>
      <c r="L33" s="289">
        <f>[11]STA_SP7_NO!$D$38</f>
        <v>0</v>
      </c>
      <c r="M33" s="149">
        <f>SUM(B33:L33)</f>
        <v>303964.20999999996</v>
      </c>
    </row>
    <row r="34" spans="1:13" ht="15.75" thickBot="1" x14ac:dyDescent="0.3">
      <c r="A34" s="125" t="s">
        <v>58</v>
      </c>
      <c r="B34" s="116">
        <f>[1]STA_SP7_NO!$E$38</f>
        <v>0</v>
      </c>
      <c r="C34" s="116">
        <f>[2]STA_SP7_NO!$E$38</f>
        <v>0</v>
      </c>
      <c r="D34" s="594">
        <f>[3]STA_SP7_NO!$E$38</f>
        <v>70639</v>
      </c>
      <c r="E34" s="116">
        <f>[4]STA_SP7_NO!$E$38</f>
        <v>1411.22</v>
      </c>
      <c r="F34" s="116">
        <f>[5]STA_SP7_NO!$E$38</f>
        <v>0</v>
      </c>
      <c r="G34" s="116">
        <f>[6]STA_SP7_NO!$E$38</f>
        <v>0</v>
      </c>
      <c r="H34" s="116">
        <f>[7]STA_SP7_NO!$E$38</f>
        <v>0</v>
      </c>
      <c r="I34" s="116">
        <f>[8]STA_SP7_NO!$E$38</f>
        <v>0</v>
      </c>
      <c r="J34" s="116">
        <f>[9]STA_SP7_NO!$E$38</f>
        <v>0</v>
      </c>
      <c r="K34" s="116">
        <f>[10]STA_SP7_NO!$E$38</f>
        <v>3247</v>
      </c>
      <c r="L34" s="290">
        <f>[11]STA_SP7_NO!$E$38</f>
        <v>0</v>
      </c>
      <c r="M34" s="116">
        <f>SUM(B34:L34)</f>
        <v>75297.22</v>
      </c>
    </row>
    <row r="37" spans="1:13" x14ac:dyDescent="0.25"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</row>
    <row r="38" spans="1:13" x14ac:dyDescent="0.25"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</row>
    <row r="39" spans="1:13" x14ac:dyDescent="0.25"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</row>
    <row r="40" spans="1:13" x14ac:dyDescent="0.25">
      <c r="L40" s="1"/>
      <c r="M40" s="198"/>
    </row>
    <row r="41" spans="1:13" x14ac:dyDescent="0.25"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</row>
    <row r="42" spans="1:13" x14ac:dyDescent="0.25"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</row>
    <row r="45" spans="1:13" x14ac:dyDescent="0.25"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</row>
  </sheetData>
  <pageMargins left="0.25" right="0.25" top="0.75" bottom="0.75" header="0.3" footer="0.3"/>
  <pageSetup paperSize="9" scale="7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H21" sqref="H21"/>
    </sheetView>
  </sheetViews>
  <sheetFormatPr defaultRowHeight="15" x14ac:dyDescent="0.25"/>
  <cols>
    <col min="1" max="1" width="7" customWidth="1"/>
    <col min="2" max="2" width="16.5703125" customWidth="1"/>
    <col min="3" max="3" width="13.42578125" customWidth="1"/>
    <col min="4" max="4" width="11.28515625" customWidth="1"/>
    <col min="5" max="6" width="14.28515625" customWidth="1"/>
    <col min="7" max="7" width="12.28515625" customWidth="1"/>
    <col min="8" max="8" width="12.42578125" customWidth="1"/>
    <col min="9" max="10" width="11.42578125" customWidth="1"/>
    <col min="11" max="11" width="11.140625" customWidth="1"/>
  </cols>
  <sheetData>
    <row r="1" spans="1:1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4"/>
      <c r="B2" s="572" t="s">
        <v>119</v>
      </c>
      <c r="C2" s="572"/>
      <c r="D2" s="572"/>
      <c r="E2" s="572"/>
      <c r="F2" s="572"/>
      <c r="G2" s="573"/>
      <c r="H2" s="573"/>
      <c r="I2" s="94"/>
      <c r="J2" s="94"/>
      <c r="K2" s="94"/>
    </row>
    <row r="3" spans="1:11" ht="15.75" thickBot="1" x14ac:dyDescent="0.3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55" t="s">
        <v>92</v>
      </c>
    </row>
    <row r="4" spans="1:11" ht="15.75" thickBot="1" x14ac:dyDescent="0.3">
      <c r="A4" s="505" t="s">
        <v>82</v>
      </c>
      <c r="B4" s="505" t="s">
        <v>57</v>
      </c>
      <c r="C4" s="505" t="s">
        <v>83</v>
      </c>
      <c r="D4" s="505" t="s">
        <v>84</v>
      </c>
      <c r="E4" s="574" t="s">
        <v>85</v>
      </c>
      <c r="F4" s="575"/>
      <c r="G4" s="576"/>
      <c r="H4" s="505" t="s">
        <v>86</v>
      </c>
      <c r="I4" s="505" t="s">
        <v>80</v>
      </c>
      <c r="J4" s="505" t="s">
        <v>87</v>
      </c>
      <c r="K4" s="505" t="s">
        <v>3</v>
      </c>
    </row>
    <row r="5" spans="1:11" ht="47.25" customHeight="1" thickBot="1" x14ac:dyDescent="0.3">
      <c r="A5" s="506"/>
      <c r="B5" s="506"/>
      <c r="C5" s="506"/>
      <c r="D5" s="506"/>
      <c r="E5" s="89" t="s">
        <v>59</v>
      </c>
      <c r="F5" s="89" t="s">
        <v>60</v>
      </c>
      <c r="G5" s="89" t="s">
        <v>88</v>
      </c>
      <c r="H5" s="506"/>
      <c r="I5" s="506"/>
      <c r="J5" s="506"/>
      <c r="K5" s="506"/>
    </row>
    <row r="6" spans="1:11" ht="15.75" thickBot="1" x14ac:dyDescent="0.3">
      <c r="A6" s="273"/>
      <c r="B6" s="274" t="s">
        <v>55</v>
      </c>
      <c r="C6" s="275">
        <f t="shared" ref="C6:K6" si="0">SUM(C7:C17)</f>
        <v>7285595.2600000007</v>
      </c>
      <c r="D6" s="276">
        <f t="shared" si="0"/>
        <v>107097.91999999998</v>
      </c>
      <c r="E6" s="277">
        <f t="shared" si="0"/>
        <v>4134572.2899999996</v>
      </c>
      <c r="F6" s="277">
        <f t="shared" si="0"/>
        <v>3006388.21</v>
      </c>
      <c r="G6" s="278">
        <f t="shared" si="0"/>
        <v>7330644.879999999</v>
      </c>
      <c r="H6" s="276">
        <f t="shared" si="0"/>
        <v>0</v>
      </c>
      <c r="I6" s="276">
        <f t="shared" si="0"/>
        <v>0</v>
      </c>
      <c r="J6" s="276">
        <f t="shared" si="0"/>
        <v>39272.199999999997</v>
      </c>
      <c r="K6" s="279">
        <f t="shared" si="0"/>
        <v>14762610.26</v>
      </c>
    </row>
    <row r="7" spans="1:11" x14ac:dyDescent="0.25">
      <c r="A7" s="90">
        <v>1</v>
      </c>
      <c r="B7" s="129" t="s">
        <v>69</v>
      </c>
      <c r="C7" s="136">
        <f>[1]STA_SP5_NO!$C$41+[1]STA_SP5_NO!$K$41</f>
        <v>1056239.57</v>
      </c>
      <c r="D7" s="137">
        <f>[1]STA_SP5_NO!$D$41</f>
        <v>7652.69</v>
      </c>
      <c r="E7" s="136">
        <f>[1]STA_SP5_NO!$E$41</f>
        <v>975151.75</v>
      </c>
      <c r="F7" s="136">
        <f>[1]STA_SP5_NO!$G$41</f>
        <v>412656.29</v>
      </c>
      <c r="G7" s="137">
        <f>E7+F7+[1]STA_SP5_NO!$I$41</f>
        <v>1403073.86</v>
      </c>
      <c r="H7" s="136">
        <v>0</v>
      </c>
      <c r="I7" s="136">
        <v>0</v>
      </c>
      <c r="J7" s="136">
        <f>[1]STA_SP5_NO!$M$41</f>
        <v>0</v>
      </c>
      <c r="K7" s="137">
        <f>C7+D7+G7+J7</f>
        <v>2466966.12</v>
      </c>
    </row>
    <row r="8" spans="1:11" x14ac:dyDescent="0.25">
      <c r="A8" s="88">
        <v>2</v>
      </c>
      <c r="B8" s="93" t="s">
        <v>4</v>
      </c>
      <c r="C8" s="138">
        <f>[2]STA_SP5_NO!$C$41+[2]STA_SP5_NO!$K$41</f>
        <v>773693.87</v>
      </c>
      <c r="D8" s="134">
        <f>[2]STA_SP5_NO!$D$41</f>
        <v>65237.54</v>
      </c>
      <c r="E8" s="134">
        <f>[2]STA_SP5_NO!$E$41</f>
        <v>924142.54</v>
      </c>
      <c r="F8" s="134">
        <f>[2]STA_SP5_NO!$G$41</f>
        <v>285683.03000000003</v>
      </c>
      <c r="G8" s="138">
        <f>E8+F8+[2]STA_SP5_NO!$I$41</f>
        <v>1278186.1300000001</v>
      </c>
      <c r="H8" s="138">
        <v>0</v>
      </c>
      <c r="I8" s="138">
        <v>0</v>
      </c>
      <c r="J8" s="138">
        <f>[2]STA_SP5_NO!$M$41</f>
        <v>0</v>
      </c>
      <c r="K8" s="174">
        <f>C8+D8+G8+J8</f>
        <v>2117117.54</v>
      </c>
    </row>
    <row r="9" spans="1:11" x14ac:dyDescent="0.25">
      <c r="A9" s="91">
        <v>3</v>
      </c>
      <c r="B9" s="130" t="s">
        <v>5</v>
      </c>
      <c r="C9" s="133">
        <f>[3]STA_SP5_NO!$C$41+[3]STA_SP5_NO!$K$41</f>
        <v>307196</v>
      </c>
      <c r="D9" s="133">
        <f>[3]STA_SP5_NO!$D$41</f>
        <v>1725</v>
      </c>
      <c r="E9" s="133">
        <f>[3]STA_SP5_NO!$E$41</f>
        <v>205289</v>
      </c>
      <c r="F9" s="133">
        <f>[3]STA_SP5_NO!$G$41</f>
        <v>291675</v>
      </c>
      <c r="G9" s="141">
        <f>E9+F9+[3]STA_SP5_NO!$I$41</f>
        <v>523562</v>
      </c>
      <c r="H9" s="133">
        <v>0</v>
      </c>
      <c r="I9" s="133">
        <v>0</v>
      </c>
      <c r="J9" s="141">
        <f>[3]STA_SP5_NO!$M$41</f>
        <v>0</v>
      </c>
      <c r="K9" s="137">
        <f>C9+D9+G9+J9</f>
        <v>832483</v>
      </c>
    </row>
    <row r="10" spans="1:11" x14ac:dyDescent="0.25">
      <c r="A10" s="88">
        <v>4</v>
      </c>
      <c r="B10" s="93" t="s">
        <v>6</v>
      </c>
      <c r="C10" s="134">
        <f>[4]STA_SP5_NO!$C$41+[4]STA_SP5_NO!$K$41</f>
        <v>729557.21000000008</v>
      </c>
      <c r="D10" s="134">
        <f>[4]STA_SP5_NO!$D$41</f>
        <v>8330.4500000000007</v>
      </c>
      <c r="E10" s="134">
        <f>[4]STA_SP5_NO!$E$41</f>
        <v>354101.57</v>
      </c>
      <c r="F10" s="134">
        <f>[4]STA_SP5_NO!$G$41</f>
        <v>266357.64</v>
      </c>
      <c r="G10" s="138">
        <f>E10+F10+[4]STA_SP5_NO!$I$41</f>
        <v>642795.75</v>
      </c>
      <c r="H10" s="134">
        <v>0</v>
      </c>
      <c r="I10" s="134">
        <v>0</v>
      </c>
      <c r="J10" s="138">
        <f>[4]STA_SP5_NO!$M$41</f>
        <v>0</v>
      </c>
      <c r="K10" s="174">
        <f t="shared" ref="K10" si="1">C10+D10+G10+J10</f>
        <v>1380683.4100000001</v>
      </c>
    </row>
    <row r="11" spans="1:11" x14ac:dyDescent="0.25">
      <c r="A11" s="90">
        <v>5</v>
      </c>
      <c r="B11" s="93" t="s">
        <v>8</v>
      </c>
      <c r="C11" s="134">
        <f>[5]STA_SP5_NO!$C$41+[5]STA_SP5_NO!$K$41</f>
        <v>1339313</v>
      </c>
      <c r="D11" s="134">
        <f>[5]STA_SP5_NO!$D$41</f>
        <v>9552</v>
      </c>
      <c r="E11" s="134">
        <f>[5]STA_SP5_NO!$E$41</f>
        <v>385563</v>
      </c>
      <c r="F11" s="134">
        <f>[5]STA_SP5_NO!$G$41</f>
        <v>283000</v>
      </c>
      <c r="G11" s="138">
        <f>E11+F11+[5]STA_SP5_NO!$I$41</f>
        <v>675024</v>
      </c>
      <c r="H11" s="134">
        <v>0</v>
      </c>
      <c r="I11" s="134">
        <v>0</v>
      </c>
      <c r="J11" s="138">
        <f>[5]STA_SP5_NO!$M$41</f>
        <v>0</v>
      </c>
      <c r="K11" s="174">
        <f t="shared" ref="K11:K17" si="2">C11+D11+G11+J11</f>
        <v>2023889</v>
      </c>
    </row>
    <row r="12" spans="1:11" x14ac:dyDescent="0.25">
      <c r="A12" s="88">
        <v>6</v>
      </c>
      <c r="B12" s="130" t="s">
        <v>94</v>
      </c>
      <c r="C12" s="133">
        <f>[6]STA_SP5_NO!$C$41+[6]STA_SP5_NO!$K$41</f>
        <v>360412.2</v>
      </c>
      <c r="D12" s="133">
        <f>[6]STA_SP5_NO!$D$41</f>
        <v>0</v>
      </c>
      <c r="E12" s="133">
        <f>[6]STA_SP5_NO!$E$41</f>
        <v>214210.73</v>
      </c>
      <c r="F12" s="133">
        <f>[6]STA_SP5_NO!$G$41</f>
        <v>155263.6</v>
      </c>
      <c r="G12" s="141">
        <f>E12+F12+[6]STA_SP5_NO!$I$41</f>
        <v>372166.14</v>
      </c>
      <c r="H12" s="133">
        <v>0</v>
      </c>
      <c r="I12" s="133">
        <v>0</v>
      </c>
      <c r="J12" s="141">
        <f>[6]STA_SP5_NO!$M$41</f>
        <v>0</v>
      </c>
      <c r="K12" s="137">
        <f t="shared" si="2"/>
        <v>732578.34000000008</v>
      </c>
    </row>
    <row r="13" spans="1:11" x14ac:dyDescent="0.25">
      <c r="A13" s="91">
        <v>7</v>
      </c>
      <c r="B13" s="93" t="s">
        <v>9</v>
      </c>
      <c r="C13" s="134">
        <f>[7]STA_SP5_NO!$C$41+[7]STA_SP5_NO!$K$41</f>
        <v>892005</v>
      </c>
      <c r="D13" s="134">
        <f>[7]STA_SP5_NO!$D$41</f>
        <v>21</v>
      </c>
      <c r="E13" s="134">
        <f>[7]STA_SP5_NO!$E$41</f>
        <v>179458</v>
      </c>
      <c r="F13" s="134">
        <f>[7]STA_SP5_NO!$G$41</f>
        <v>316095</v>
      </c>
      <c r="G13" s="138">
        <f>E13+F13+[7]STA_SP5_NO!$I$41</f>
        <v>505464</v>
      </c>
      <c r="H13" s="134">
        <v>0</v>
      </c>
      <c r="I13" s="134">
        <v>0</v>
      </c>
      <c r="J13" s="138">
        <f>[7]STA_SP5_NO!$M$41</f>
        <v>0</v>
      </c>
      <c r="K13" s="174">
        <f t="shared" si="2"/>
        <v>1397490</v>
      </c>
    </row>
    <row r="14" spans="1:11" x14ac:dyDescent="0.25">
      <c r="A14" s="88">
        <v>8</v>
      </c>
      <c r="B14" s="130" t="s">
        <v>38</v>
      </c>
      <c r="C14" s="133">
        <f>[8]STA_SP5_NO!$C$41+[8]STA_SP5_NO!$K$41</f>
        <v>466679.25</v>
      </c>
      <c r="D14" s="133">
        <f>[8]STA_SP5_NO!$D$41</f>
        <v>2698.01</v>
      </c>
      <c r="E14" s="133">
        <f>[8]STA_SP5_NO!$E$41</f>
        <v>234445</v>
      </c>
      <c r="F14" s="133">
        <f>[8]STA_SP5_NO!$G$41</f>
        <v>297543.09000000003</v>
      </c>
      <c r="G14" s="141">
        <f>E14+F14+[8]STA_SP5_NO!$I$41</f>
        <v>540645.18000000005</v>
      </c>
      <c r="H14" s="133">
        <v>0</v>
      </c>
      <c r="I14" s="133">
        <v>0</v>
      </c>
      <c r="J14" s="141">
        <f>[8]STA_SP5_NO!$M$41</f>
        <v>39272.199999999997</v>
      </c>
      <c r="K14" s="137">
        <f t="shared" si="2"/>
        <v>1049294.6400000001</v>
      </c>
    </row>
    <row r="15" spans="1:11" x14ac:dyDescent="0.25">
      <c r="A15" s="90">
        <v>9</v>
      </c>
      <c r="B15" s="93" t="s">
        <v>93</v>
      </c>
      <c r="C15" s="138">
        <f>[9]STA_SP5_NO!$C$41+[9]STA_SP5_NO!$K$41</f>
        <v>612151.17000000004</v>
      </c>
      <c r="D15" s="138">
        <f>[9]STA_SP5_NO!$D$41</f>
        <v>2900.23</v>
      </c>
      <c r="E15" s="138">
        <f>[9]STA_SP5_NO!$E$41</f>
        <v>261122.51</v>
      </c>
      <c r="F15" s="138">
        <f>[9]STA_SP5_NO!$G$41</f>
        <v>245948.13</v>
      </c>
      <c r="G15" s="138">
        <f>E15+F15+[9]STA_SP5_NO!$I$41</f>
        <v>520501.89</v>
      </c>
      <c r="H15" s="134">
        <v>0</v>
      </c>
      <c r="I15" s="134">
        <v>0</v>
      </c>
      <c r="J15" s="138">
        <f>[9]STA_SP5_NO!$M$41</f>
        <v>0</v>
      </c>
      <c r="K15" s="174">
        <f t="shared" si="2"/>
        <v>1135553.29</v>
      </c>
    </row>
    <row r="16" spans="1:11" x14ac:dyDescent="0.25">
      <c r="A16" s="88">
        <v>10</v>
      </c>
      <c r="B16" s="131" t="s">
        <v>11</v>
      </c>
      <c r="C16" s="140">
        <f>[10]STA_SP5_NO!$C$41+[10]STA_SP5_NO!$K$41</f>
        <v>724974</v>
      </c>
      <c r="D16" s="139">
        <f>[10]STA_SP5_NO!$D$41</f>
        <v>8981</v>
      </c>
      <c r="E16" s="140">
        <f>[10]STA_SP5_NO!$E$41</f>
        <v>394077</v>
      </c>
      <c r="F16" s="140">
        <f>[10]STA_SP5_NO!$G$41</f>
        <v>421716</v>
      </c>
      <c r="G16" s="139">
        <f>E16+F16+[10]STA_SP5_NO!$I$41</f>
        <v>831577</v>
      </c>
      <c r="H16" s="140">
        <v>0</v>
      </c>
      <c r="I16" s="140">
        <v>0</v>
      </c>
      <c r="J16" s="139">
        <f>[10]STA_SP5_NO!$M$41</f>
        <v>0</v>
      </c>
      <c r="K16" s="217">
        <f t="shared" si="2"/>
        <v>1565532</v>
      </c>
    </row>
    <row r="17" spans="1:11" s="1" customFormat="1" ht="15.75" thickBot="1" x14ac:dyDescent="0.3">
      <c r="A17" s="91">
        <v>11</v>
      </c>
      <c r="B17" s="285" t="s">
        <v>96</v>
      </c>
      <c r="C17" s="286">
        <f>[11]STA_SP5_NO!$C$41+[11]STA_SP5_NO!$K$41</f>
        <v>23373.99</v>
      </c>
      <c r="D17" s="287">
        <f>[11]STA_SP5_NO!$D$41</f>
        <v>0</v>
      </c>
      <c r="E17" s="286">
        <f>[11]STA_SP5_NO!$E$41</f>
        <v>7011.19</v>
      </c>
      <c r="F17" s="286">
        <f>[11]STA_SP5_NO!$G$41</f>
        <v>30450.43</v>
      </c>
      <c r="G17" s="287">
        <f>E17+F17+[11]STA_SP5_NO!$I$41</f>
        <v>37648.93</v>
      </c>
      <c r="H17" s="286">
        <v>0</v>
      </c>
      <c r="I17" s="286">
        <v>0</v>
      </c>
      <c r="J17" s="287">
        <f>[11]STA_SP5_NO!$M$41</f>
        <v>0</v>
      </c>
      <c r="K17" s="287">
        <f t="shared" si="2"/>
        <v>61022.92</v>
      </c>
    </row>
    <row r="18" spans="1:11" ht="15.75" thickBot="1" x14ac:dyDescent="0.3">
      <c r="A18" s="273"/>
      <c r="B18" s="274" t="s">
        <v>56</v>
      </c>
      <c r="C18" s="280">
        <f>SUM(C19:C24)</f>
        <v>43675.85</v>
      </c>
      <c r="D18" s="281">
        <f>SUM(D19:D24)</f>
        <v>113445</v>
      </c>
      <c r="E18" s="281">
        <f>SUM(E19:E24)</f>
        <v>88555.25</v>
      </c>
      <c r="F18" s="281">
        <f>SUM(F19:F24)</f>
        <v>33508.44</v>
      </c>
      <c r="G18" s="282">
        <f>G19+G20+G21+G22+G23+G24</f>
        <v>128220.11</v>
      </c>
      <c r="H18" s="281">
        <f>SUM(H19:H24)</f>
        <v>0</v>
      </c>
      <c r="I18" s="281">
        <f>SUM(I19:I24)</f>
        <v>11751607.310000001</v>
      </c>
      <c r="J18" s="281">
        <f>SUM(J19:J24)</f>
        <v>0</v>
      </c>
      <c r="K18" s="282">
        <f>SUM(K19:K24)</f>
        <v>12036948.269999998</v>
      </c>
    </row>
    <row r="19" spans="1:11" x14ac:dyDescent="0.25">
      <c r="A19" s="91">
        <v>1</v>
      </c>
      <c r="B19" s="130" t="s">
        <v>11</v>
      </c>
      <c r="C19" s="98">
        <f>[12]STA_SP4_ZO!$C$51</f>
        <v>18745</v>
      </c>
      <c r="D19" s="98">
        <f>[12]STA_SP4_ZO!$F$51</f>
        <v>0</v>
      </c>
      <c r="E19" s="98">
        <f>[12]STA_SP4_ZO!$G$51</f>
        <v>25576</v>
      </c>
      <c r="F19" s="204">
        <f>[12]STA_SP4_ZO!$H$51</f>
        <v>5953</v>
      </c>
      <c r="G19" s="141">
        <f>E19+F19+[12]STA_SP4_ZO!$J$51</f>
        <v>32272</v>
      </c>
      <c r="H19" s="133">
        <v>0</v>
      </c>
      <c r="I19" s="141">
        <f>[12]STA_SP4_ZO!$D$51+[12]STA_SP4_ZO!$E$51</f>
        <v>4146396</v>
      </c>
      <c r="J19" s="133">
        <v>0</v>
      </c>
      <c r="K19" s="137">
        <f t="shared" ref="K19:K24" si="3">C19+D19+G19+I19+J19</f>
        <v>4197413</v>
      </c>
    </row>
    <row r="20" spans="1:11" x14ac:dyDescent="0.25">
      <c r="A20" s="88">
        <v>2</v>
      </c>
      <c r="B20" s="93" t="s">
        <v>32</v>
      </c>
      <c r="C20" s="206">
        <f>[13]STA_SP4_ZO!$C$51</f>
        <v>11783</v>
      </c>
      <c r="D20" s="206">
        <f>[13]STA_SP4_ZO!$F$51</f>
        <v>113445</v>
      </c>
      <c r="E20" s="206">
        <f>[13]STA_SP4_ZO!$G$51</f>
        <v>45786</v>
      </c>
      <c r="F20" s="203">
        <f>[13]STA_SP4_ZO!$H$51</f>
        <v>10235</v>
      </c>
      <c r="G20" s="138">
        <f>[13]STA_SP4_ZO!$J$51+E20+F20</f>
        <v>56748</v>
      </c>
      <c r="H20" s="134">
        <v>0</v>
      </c>
      <c r="I20" s="134">
        <f>[13]STA_SP4_ZO!$D$51+[13]STA_SP4_ZO!$E$51</f>
        <v>3519723</v>
      </c>
      <c r="J20" s="134">
        <v>0</v>
      </c>
      <c r="K20" s="174">
        <f t="shared" si="3"/>
        <v>3701699</v>
      </c>
    </row>
    <row r="21" spans="1:11" x14ac:dyDescent="0.25">
      <c r="A21" s="91">
        <v>3</v>
      </c>
      <c r="B21" s="130" t="s">
        <v>7</v>
      </c>
      <c r="C21" s="133">
        <f>[14]STA_SP4_ZO!$C$51</f>
        <v>5083</v>
      </c>
      <c r="D21" s="133">
        <f>[14]STA_SP4_ZO!$F$51</f>
        <v>0</v>
      </c>
      <c r="E21" s="133">
        <f>[14]STA_SP4_ZO!$G$51</f>
        <v>6496</v>
      </c>
      <c r="F21" s="204">
        <f>[14]STA_SP4_ZO!$H$51</f>
        <v>14284</v>
      </c>
      <c r="G21" s="141">
        <f>[14]STA_SP4_ZO!$J$51+E21+F21</f>
        <v>24218.190000000002</v>
      </c>
      <c r="H21" s="133">
        <v>0</v>
      </c>
      <c r="I21" s="141">
        <f>[14]STA_SP4_ZO!$D$51+[14]STA_SP4_ZO!$E$51</f>
        <v>2015435</v>
      </c>
      <c r="J21" s="133">
        <v>0</v>
      </c>
      <c r="K21" s="137">
        <f t="shared" si="3"/>
        <v>2044736.19</v>
      </c>
    </row>
    <row r="22" spans="1:11" x14ac:dyDescent="0.25">
      <c r="A22" s="107">
        <v>4</v>
      </c>
      <c r="B22" s="132" t="s">
        <v>9</v>
      </c>
      <c r="C22" s="135">
        <f>[15]STA_SP4_ZO!$C$51</f>
        <v>6132</v>
      </c>
      <c r="D22" s="135">
        <f>[15]STA_SP4_ZO!$F$51</f>
        <v>0</v>
      </c>
      <c r="E22" s="135">
        <f>[15]STA_SP4_ZO!$G$51</f>
        <v>7270</v>
      </c>
      <c r="F22" s="205">
        <f>[15]STA_SP4_ZO!$H$51</f>
        <v>2179</v>
      </c>
      <c r="G22" s="199">
        <f>E22+F22+[15]STA_SP4_ZO!$J$51</f>
        <v>10499</v>
      </c>
      <c r="H22" s="135">
        <v>0</v>
      </c>
      <c r="I22" s="135">
        <f>[15]STA_SP4_ZO!$D$51+[15]STA_SP4_ZO!$E$51</f>
        <v>969352</v>
      </c>
      <c r="J22" s="135">
        <v>0</v>
      </c>
      <c r="K22" s="174">
        <f t="shared" si="3"/>
        <v>985983</v>
      </c>
    </row>
    <row r="23" spans="1:11" s="1" customFormat="1" x14ac:dyDescent="0.25">
      <c r="A23" s="92">
        <v>5</v>
      </c>
      <c r="B23" s="131" t="s">
        <v>4</v>
      </c>
      <c r="C23" s="140">
        <f>[16]STA_SP4_ZO!$C$51</f>
        <v>989.64</v>
      </c>
      <c r="D23" s="215">
        <f>[16]STA_SP4_ZO!$F$51</f>
        <v>0</v>
      </c>
      <c r="E23" s="140">
        <f>[16]STA_SP4_ZO!$G$51</f>
        <v>3365.55</v>
      </c>
      <c r="F23" s="216">
        <f>[16]STA_SP4_ZO!$H$51</f>
        <v>563.5</v>
      </c>
      <c r="G23" s="139">
        <f>E23+F23+[16]STA_SP4_ZO!$J$51</f>
        <v>4125.5</v>
      </c>
      <c r="H23" s="140">
        <v>0</v>
      </c>
      <c r="I23" s="140">
        <f>[16]STA_SP4_ZO!$D$51+[16]STA_SP4_ZO!$E$51</f>
        <v>1083414.1499999999</v>
      </c>
      <c r="J23" s="140">
        <v>0</v>
      </c>
      <c r="K23" s="217">
        <f t="shared" si="3"/>
        <v>1088529.2899999998</v>
      </c>
    </row>
    <row r="24" spans="1:11" s="1" customFormat="1" x14ac:dyDescent="0.25">
      <c r="A24" s="219">
        <v>6</v>
      </c>
      <c r="B24" s="220" t="s">
        <v>95</v>
      </c>
      <c r="C24" s="221">
        <f>[17]STA_SP4_ZO!$C$51</f>
        <v>943.21</v>
      </c>
      <c r="D24" s="221">
        <f>[17]STA_SP4_ZO!$F$51</f>
        <v>0</v>
      </c>
      <c r="E24" s="221">
        <f>[17]STA_SP4_ZO!$G$51</f>
        <v>61.7</v>
      </c>
      <c r="F24" s="221">
        <f>[17]STA_SP4_ZO!$H$51</f>
        <v>293.94</v>
      </c>
      <c r="G24" s="221">
        <f>E24+F24+[17]STA_SP4_ZO!$J$51</f>
        <v>357.41999999999996</v>
      </c>
      <c r="H24" s="218">
        <v>0</v>
      </c>
      <c r="I24" s="221">
        <f>[17]STA_SP4_ZO!$D$51+[17]STA_SP4_ZO!$E$51</f>
        <v>17287.16</v>
      </c>
      <c r="J24" s="222">
        <v>0</v>
      </c>
      <c r="K24" s="223">
        <f t="shared" si="3"/>
        <v>18587.79</v>
      </c>
    </row>
    <row r="25" spans="1:11" ht="15.75" thickBot="1" x14ac:dyDescent="0.3">
      <c r="A25" s="570" t="s">
        <v>30</v>
      </c>
      <c r="B25" s="571"/>
      <c r="C25" s="283">
        <f t="shared" ref="C25:K25" si="4">C6+C18</f>
        <v>7329271.1100000003</v>
      </c>
      <c r="D25" s="283">
        <f t="shared" si="4"/>
        <v>220542.91999999998</v>
      </c>
      <c r="E25" s="283">
        <f t="shared" si="4"/>
        <v>4223127.5399999991</v>
      </c>
      <c r="F25" s="283">
        <f t="shared" si="4"/>
        <v>3039896.65</v>
      </c>
      <c r="G25" s="284">
        <f t="shared" si="4"/>
        <v>7458864.9899999993</v>
      </c>
      <c r="H25" s="283">
        <f t="shared" si="4"/>
        <v>0</v>
      </c>
      <c r="I25" s="283">
        <f t="shared" si="4"/>
        <v>11751607.310000001</v>
      </c>
      <c r="J25" s="283">
        <f t="shared" si="4"/>
        <v>39272.199999999997</v>
      </c>
      <c r="K25" s="284">
        <f t="shared" si="4"/>
        <v>26799558.529999997</v>
      </c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1">
    <mergeCell ref="A25:B25"/>
    <mergeCell ref="I4:I5"/>
    <mergeCell ref="J4:J5"/>
    <mergeCell ref="K4:K5"/>
    <mergeCell ref="B2:H2"/>
    <mergeCell ref="A4:A5"/>
    <mergeCell ref="B4:B5"/>
    <mergeCell ref="C4:C5"/>
    <mergeCell ref="D4:D5"/>
    <mergeCell ref="E4:G4"/>
    <mergeCell ref="H4:H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Q19" sqref="Q19"/>
    </sheetView>
  </sheetViews>
  <sheetFormatPr defaultRowHeight="15" x14ac:dyDescent="0.25"/>
  <cols>
    <col min="1" max="1" width="4.28515625" customWidth="1"/>
    <col min="2" max="2" width="27.85546875" customWidth="1"/>
    <col min="3" max="3" width="11" bestFit="1" customWidth="1"/>
    <col min="8" max="8" width="10.42578125" customWidth="1"/>
    <col min="10" max="10" width="10.28515625" bestFit="1" customWidth="1"/>
  </cols>
  <sheetData>
    <row r="1" spans="1:14" ht="23.25" customHeight="1" thickBot="1" x14ac:dyDescent="0.3">
      <c r="A1" s="152"/>
      <c r="B1" s="152"/>
      <c r="C1" s="423" t="s">
        <v>98</v>
      </c>
      <c r="D1" s="424"/>
      <c r="E1" s="424"/>
      <c r="F1" s="424"/>
      <c r="G1" s="424"/>
      <c r="H1" s="424"/>
      <c r="I1" s="424"/>
      <c r="J1" s="2"/>
      <c r="K1" s="2"/>
      <c r="L1" s="2"/>
      <c r="M1" s="2"/>
      <c r="N1" s="8"/>
    </row>
    <row r="2" spans="1:14" ht="15.75" thickBot="1" x14ac:dyDescent="0.3">
      <c r="A2" s="425" t="s">
        <v>0</v>
      </c>
      <c r="B2" s="435" t="s">
        <v>1</v>
      </c>
      <c r="C2" s="436" t="s">
        <v>2</v>
      </c>
      <c r="D2" s="437"/>
      <c r="E2" s="437"/>
      <c r="F2" s="437"/>
      <c r="G2" s="437"/>
      <c r="H2" s="437"/>
      <c r="I2" s="437"/>
      <c r="J2" s="437"/>
      <c r="K2" s="437"/>
      <c r="L2" s="437"/>
      <c r="M2" s="438"/>
      <c r="N2" s="411" t="s">
        <v>3</v>
      </c>
    </row>
    <row r="3" spans="1:14" ht="15.75" thickBot="1" x14ac:dyDescent="0.3">
      <c r="A3" s="426"/>
      <c r="B3" s="428"/>
      <c r="C3" s="226" t="s">
        <v>69</v>
      </c>
      <c r="D3" s="225" t="s">
        <v>4</v>
      </c>
      <c r="E3" s="226" t="s">
        <v>5</v>
      </c>
      <c r="F3" s="167" t="s">
        <v>6</v>
      </c>
      <c r="G3" s="324" t="s">
        <v>8</v>
      </c>
      <c r="H3" s="250" t="s">
        <v>94</v>
      </c>
      <c r="I3" s="324" t="s">
        <v>9</v>
      </c>
      <c r="J3" s="250" t="s">
        <v>10</v>
      </c>
      <c r="K3" s="324" t="s">
        <v>93</v>
      </c>
      <c r="L3" s="250" t="s">
        <v>11</v>
      </c>
      <c r="M3" s="329" t="s">
        <v>96</v>
      </c>
      <c r="N3" s="412"/>
    </row>
    <row r="4" spans="1:14" ht="15.75" thickBot="1" x14ac:dyDescent="0.3">
      <c r="A4" s="5">
        <v>1</v>
      </c>
      <c r="B4" s="9" t="s">
        <v>12</v>
      </c>
      <c r="C4" s="142">
        <f>[1]STA_SP1_NO!$C$10</f>
        <v>78274</v>
      </c>
      <c r="D4" s="145">
        <f>[2]STA_SP1_NO!$C$10</f>
        <v>40217</v>
      </c>
      <c r="E4" s="142">
        <f>[3]STA_SP1_NO!$C$10</f>
        <v>21662</v>
      </c>
      <c r="F4" s="144">
        <f>[4]STA_SP1_NO!$C$10</f>
        <v>125051</v>
      </c>
      <c r="G4" s="316">
        <f>[5]STA_SP1_NO!$C$10</f>
        <v>44022</v>
      </c>
      <c r="H4" s="144">
        <f>[6]STA_SP1_NO!$C$10</f>
        <v>56633</v>
      </c>
      <c r="I4" s="316">
        <f>[7]STA_SP1_NO!$C$10</f>
        <v>82726</v>
      </c>
      <c r="J4" s="144">
        <f>[8]STA_SP1_NO!$C$10</f>
        <v>52634</v>
      </c>
      <c r="K4" s="316">
        <f>[9]STA_SP1_NO!$C$10</f>
        <v>52402</v>
      </c>
      <c r="L4" s="328">
        <f>[10]STA_SP1_NO!$C$10</f>
        <v>99528</v>
      </c>
      <c r="M4" s="330">
        <f>[11]STA_SP1_NO!$C$10</f>
        <v>4182</v>
      </c>
      <c r="N4" s="236">
        <f t="shared" ref="N4:N22" si="0">SUM(C4:M4)</f>
        <v>657331</v>
      </c>
    </row>
    <row r="5" spans="1:14" ht="15.75" thickBot="1" x14ac:dyDescent="0.3">
      <c r="A5" s="4">
        <v>2</v>
      </c>
      <c r="B5" s="10" t="s">
        <v>13</v>
      </c>
      <c r="C5" s="142">
        <f>[1]STA_SP1_NO!$C$20</f>
        <v>969</v>
      </c>
      <c r="D5" s="145">
        <f>[2]STA_SP1_NO!$C$20</f>
        <v>16909</v>
      </c>
      <c r="E5" s="142">
        <f>[3]STA_SP1_NO!$C$20</f>
        <v>68</v>
      </c>
      <c r="F5" s="144">
        <f>[4]STA_SP1_NO!$C$20</f>
        <v>10105</v>
      </c>
      <c r="G5" s="316">
        <f>[5]STA_SP1_NO!$C$20</f>
        <v>970</v>
      </c>
      <c r="H5" s="144">
        <f>[6]STA_SP1_NO!$C$20</f>
        <v>0</v>
      </c>
      <c r="I5" s="316">
        <f>[7]STA_SP1_NO!$C$20</f>
        <v>694</v>
      </c>
      <c r="J5" s="144">
        <f>[8]STA_SP1_NO!$C$20</f>
        <v>0</v>
      </c>
      <c r="K5" s="316">
        <f>[9]STA_SP1_NO!$C$20</f>
        <v>5724</v>
      </c>
      <c r="L5" s="328">
        <f>[10]STA_SP1_NO!$C$20</f>
        <v>1752</v>
      </c>
      <c r="M5" s="330">
        <f>[11]STA_SP1_NO!$C$20</f>
        <v>0</v>
      </c>
      <c r="N5" s="237">
        <f t="shared" si="0"/>
        <v>37191</v>
      </c>
    </row>
    <row r="6" spans="1:14" ht="15.75" thickBot="1" x14ac:dyDescent="0.3">
      <c r="A6" s="4">
        <v>3</v>
      </c>
      <c r="B6" s="10" t="s">
        <v>14</v>
      </c>
      <c r="C6" s="142">
        <f>[1]STA_SP1_NO!$C$24</f>
        <v>5444</v>
      </c>
      <c r="D6" s="145">
        <f>[2]STA_SP1_NO!$C$24</f>
        <v>5607</v>
      </c>
      <c r="E6" s="142">
        <f>[3]STA_SP1_NO!$C$24</f>
        <v>8705</v>
      </c>
      <c r="F6" s="144">
        <f>[4]STA_SP1_NO!$C$24</f>
        <v>6939</v>
      </c>
      <c r="G6" s="316">
        <f>[5]STA_SP1_NO!$C$24</f>
        <v>4276</v>
      </c>
      <c r="H6" s="144">
        <f>[6]STA_SP1_NO!$C$24</f>
        <v>984</v>
      </c>
      <c r="I6" s="316">
        <f>[7]STA_SP1_NO!$C$24</f>
        <v>2991</v>
      </c>
      <c r="J6" s="144">
        <f>[8]STA_SP1_NO!$C$24</f>
        <v>4740</v>
      </c>
      <c r="K6" s="316">
        <f>[9]STA_SP1_NO!$C$24</f>
        <v>3350</v>
      </c>
      <c r="L6" s="328">
        <f>[10]STA_SP1_NO!$C$24</f>
        <v>3504</v>
      </c>
      <c r="M6" s="330">
        <f>[11]STA_SP1_NO!$C$24</f>
        <v>127</v>
      </c>
      <c r="N6" s="238">
        <f t="shared" si="0"/>
        <v>46667</v>
      </c>
    </row>
    <row r="7" spans="1:14" ht="15.75" thickBot="1" x14ac:dyDescent="0.3">
      <c r="A7" s="4">
        <v>4</v>
      </c>
      <c r="B7" s="10" t="s">
        <v>15</v>
      </c>
      <c r="C7" s="142">
        <f>[1]STA_SP1_NO!$C$27</f>
        <v>0</v>
      </c>
      <c r="D7" s="145">
        <f>[2]STA_SP1_NO!$C$27</f>
        <v>0</v>
      </c>
      <c r="E7" s="142">
        <f>[3]STA_SP1_NO!$C$27</f>
        <v>0</v>
      </c>
      <c r="F7" s="144">
        <f>[4]STA_SP1_NO!$C$27</f>
        <v>0</v>
      </c>
      <c r="G7" s="316">
        <f>[5]STA_SP1_NO!$C$27</f>
        <v>0</v>
      </c>
      <c r="H7" s="144">
        <f>[6]STA_SP1_NO!$C$27</f>
        <v>0</v>
      </c>
      <c r="I7" s="316">
        <f>[7]STA_SP1_NO!$C$27</f>
        <v>0</v>
      </c>
      <c r="J7" s="144">
        <f>[8]STA_SP1_NO!$C$27</f>
        <v>0</v>
      </c>
      <c r="K7" s="316">
        <f>[9]STA_SP1_NO!$C$27</f>
        <v>0</v>
      </c>
      <c r="L7" s="328">
        <f>[10]STA_SP1_NO!$C$27</f>
        <v>0</v>
      </c>
      <c r="M7" s="330">
        <f>[11]STA_SP1_NO!$C$27</f>
        <v>0</v>
      </c>
      <c r="N7" s="237">
        <f t="shared" si="0"/>
        <v>0</v>
      </c>
    </row>
    <row r="8" spans="1:14" ht="15.75" thickBot="1" x14ac:dyDescent="0.3">
      <c r="A8" s="4">
        <v>5</v>
      </c>
      <c r="B8" s="10" t="s">
        <v>16</v>
      </c>
      <c r="C8" s="142">
        <f>[1]STA_SP1_NO!$C$30</f>
        <v>0</v>
      </c>
      <c r="D8" s="145">
        <f>[2]STA_SP1_NO!$C$30</f>
        <v>0</v>
      </c>
      <c r="E8" s="142">
        <f>[3]STA_SP1_NO!$C$30</f>
        <v>0</v>
      </c>
      <c r="F8" s="144">
        <f>[4]STA_SP1_NO!$C$30</f>
        <v>0</v>
      </c>
      <c r="G8" s="316">
        <f>[5]STA_SP1_NO!$C$30</f>
        <v>6</v>
      </c>
      <c r="H8" s="144">
        <f>[6]STA_SP1_NO!$C$30</f>
        <v>0</v>
      </c>
      <c r="I8" s="316">
        <f>[7]STA_SP1_NO!$C$30</f>
        <v>0</v>
      </c>
      <c r="J8" s="144">
        <f>[8]STA_SP1_NO!$C$30</f>
        <v>2</v>
      </c>
      <c r="K8" s="316">
        <f>[9]STA_SP1_NO!$C$30</f>
        <v>0</v>
      </c>
      <c r="L8" s="328">
        <f>[10]STA_SP1_NO!$C$30</f>
        <v>1</v>
      </c>
      <c r="M8" s="330">
        <f>[11]STA_SP1_NO!$C$30</f>
        <v>0</v>
      </c>
      <c r="N8" s="237">
        <f t="shared" si="0"/>
        <v>9</v>
      </c>
    </row>
    <row r="9" spans="1:14" ht="15.75" thickBot="1" x14ac:dyDescent="0.3">
      <c r="A9" s="4">
        <v>6</v>
      </c>
      <c r="B9" s="10" t="s">
        <v>17</v>
      </c>
      <c r="C9" s="142">
        <f>[1]STA_SP1_NO!$C$33</f>
        <v>6</v>
      </c>
      <c r="D9" s="145">
        <f>[2]STA_SP1_NO!$C$33</f>
        <v>4</v>
      </c>
      <c r="E9" s="142">
        <f>[3]STA_SP1_NO!$C$33</f>
        <v>1</v>
      </c>
      <c r="F9" s="144">
        <f>[4]STA_SP1_NO!$C$33</f>
        <v>23</v>
      </c>
      <c r="G9" s="316">
        <f>[5]STA_SP1_NO!$C$33</f>
        <v>1</v>
      </c>
      <c r="H9" s="144">
        <f>[6]STA_SP1_NO!$C$33</f>
        <v>0</v>
      </c>
      <c r="I9" s="316">
        <f>[7]STA_SP1_NO!$C$33</f>
        <v>3</v>
      </c>
      <c r="J9" s="144">
        <f>[8]STA_SP1_NO!$C$33</f>
        <v>14</v>
      </c>
      <c r="K9" s="316">
        <f>[9]STA_SP1_NO!$C$33</f>
        <v>2</v>
      </c>
      <c r="L9" s="328">
        <f>[10]STA_SP1_NO!$C$33</f>
        <v>0</v>
      </c>
      <c r="M9" s="330">
        <f>[11]STA_SP1_NO!$C$33</f>
        <v>0</v>
      </c>
      <c r="N9" s="237">
        <f t="shared" si="0"/>
        <v>54</v>
      </c>
    </row>
    <row r="10" spans="1:14" ht="15.75" thickBot="1" x14ac:dyDescent="0.3">
      <c r="A10" s="4">
        <v>7</v>
      </c>
      <c r="B10" s="10" t="s">
        <v>18</v>
      </c>
      <c r="C10" s="142">
        <f>[1]STA_SP1_NO!$C$36</f>
        <v>169</v>
      </c>
      <c r="D10" s="145">
        <f>[2]STA_SP1_NO!$C$36</f>
        <v>531</v>
      </c>
      <c r="E10" s="142">
        <f>[3]STA_SP1_NO!$C$36</f>
        <v>215</v>
      </c>
      <c r="F10" s="144">
        <f>[4]STA_SP1_NO!$C$36</f>
        <v>203</v>
      </c>
      <c r="G10" s="316">
        <f>[5]STA_SP1_NO!$C$36</f>
        <v>416</v>
      </c>
      <c r="H10" s="144">
        <f>[6]STA_SP1_NO!$C$36</f>
        <v>0</v>
      </c>
      <c r="I10" s="316">
        <f>[7]STA_SP1_NO!$C$36</f>
        <v>143</v>
      </c>
      <c r="J10" s="144">
        <f>[8]STA_SP1_NO!$C$36</f>
        <v>147</v>
      </c>
      <c r="K10" s="316">
        <f>[9]STA_SP1_NO!$C$36</f>
        <v>162</v>
      </c>
      <c r="L10" s="328">
        <f>[10]STA_SP1_NO!$C$36</f>
        <v>19</v>
      </c>
      <c r="M10" s="330">
        <f>[11]STA_SP1_NO!$C$36</f>
        <v>0</v>
      </c>
      <c r="N10" s="237">
        <f t="shared" si="0"/>
        <v>2005</v>
      </c>
    </row>
    <row r="11" spans="1:14" ht="15.75" thickBot="1" x14ac:dyDescent="0.3">
      <c r="A11" s="4">
        <v>8</v>
      </c>
      <c r="B11" s="10" t="s">
        <v>19</v>
      </c>
      <c r="C11" s="142">
        <f>[1]STA_SP1_NO!$C$40</f>
        <v>12179</v>
      </c>
      <c r="D11" s="145">
        <f>[2]STA_SP1_NO!$C$40</f>
        <v>16292</v>
      </c>
      <c r="E11" s="142">
        <f>[3]STA_SP1_NO!$C$40</f>
        <v>4632</v>
      </c>
      <c r="F11" s="144">
        <f>[4]STA_SP1_NO!$C$40</f>
        <v>20657</v>
      </c>
      <c r="G11" s="316">
        <f>[5]STA_SP1_NO!$C$40</f>
        <v>11213</v>
      </c>
      <c r="H11" s="144">
        <f>[6]STA_SP1_NO!$C$40</f>
        <v>828</v>
      </c>
      <c r="I11" s="316">
        <f>[7]STA_SP1_NO!$C$40</f>
        <v>4044</v>
      </c>
      <c r="J11" s="144">
        <f>[8]STA_SP1_NO!$C$40</f>
        <v>5810</v>
      </c>
      <c r="K11" s="316">
        <f>[9]STA_SP1_NO!$C$40</f>
        <v>8071</v>
      </c>
      <c r="L11" s="328">
        <f>[10]STA_SP1_NO!$C$40</f>
        <v>17285</v>
      </c>
      <c r="M11" s="330">
        <f>[11]STA_SP1_NO!$C$40</f>
        <v>30</v>
      </c>
      <c r="N11" s="238">
        <f t="shared" si="0"/>
        <v>101041</v>
      </c>
    </row>
    <row r="12" spans="1:14" ht="15.75" thickBot="1" x14ac:dyDescent="0.3">
      <c r="A12" s="4">
        <v>9</v>
      </c>
      <c r="B12" s="10" t="s">
        <v>20</v>
      </c>
      <c r="C12" s="142">
        <f>[1]STA_SP1_NO!$C$56</f>
        <v>13336</v>
      </c>
      <c r="D12" s="145">
        <f>[2]STA_SP1_NO!$C$56</f>
        <v>18924</v>
      </c>
      <c r="E12" s="142">
        <f>[3]STA_SP1_NO!$C$56</f>
        <v>1674</v>
      </c>
      <c r="F12" s="144">
        <f>[4]STA_SP1_NO!$C$56</f>
        <v>35183</v>
      </c>
      <c r="G12" s="316">
        <f>[5]STA_SP1_NO!$C$56</f>
        <v>9766</v>
      </c>
      <c r="H12" s="144">
        <f>[6]STA_SP1_NO!$C$56</f>
        <v>522</v>
      </c>
      <c r="I12" s="316">
        <f>[7]STA_SP1_NO!$C$56</f>
        <v>2276</v>
      </c>
      <c r="J12" s="144">
        <f>[8]STA_SP1_NO!$C$56</f>
        <v>2849</v>
      </c>
      <c r="K12" s="316">
        <f>[9]STA_SP1_NO!$C$56</f>
        <v>8286</v>
      </c>
      <c r="L12" s="328">
        <f>[10]STA_SP1_NO!$C$56</f>
        <v>15590</v>
      </c>
      <c r="M12" s="330">
        <f>[11]STA_SP1_NO!$C$56</f>
        <v>22</v>
      </c>
      <c r="N12" s="238">
        <f t="shared" si="0"/>
        <v>108428</v>
      </c>
    </row>
    <row r="13" spans="1:14" ht="15.75" thickBot="1" x14ac:dyDescent="0.3">
      <c r="A13" s="4">
        <v>10</v>
      </c>
      <c r="B13" s="10" t="s">
        <v>21</v>
      </c>
      <c r="C13" s="142">
        <f>[1]STA_SP1_NO!$C$88</f>
        <v>116795</v>
      </c>
      <c r="D13" s="145">
        <f>[2]STA_SP1_NO!$C$88</f>
        <v>66313</v>
      </c>
      <c r="E13" s="142">
        <f>[3]STA_SP1_NO!$C$88</f>
        <v>72175</v>
      </c>
      <c r="F13" s="144">
        <f>[4]STA_SP1_NO!$C$88</f>
        <v>73753</v>
      </c>
      <c r="G13" s="316">
        <f>[5]STA_SP1_NO!$C$88</f>
        <v>69515</v>
      </c>
      <c r="H13" s="144">
        <f>[6]STA_SP1_NO!$C$88</f>
        <v>97707</v>
      </c>
      <c r="I13" s="316">
        <f>[7]STA_SP1_NO!$C$88</f>
        <v>148718</v>
      </c>
      <c r="J13" s="144">
        <f>[8]STA_SP1_NO!$C$88</f>
        <v>81107</v>
      </c>
      <c r="K13" s="316">
        <f>[9]STA_SP1_NO!$C$88</f>
        <v>52758</v>
      </c>
      <c r="L13" s="328">
        <f>[10]STA_SP1_NO!$C$88</f>
        <v>99660</v>
      </c>
      <c r="M13" s="330">
        <f>[11]STA_SP1_NO!$C$88</f>
        <v>7175</v>
      </c>
      <c r="N13" s="238">
        <f t="shared" si="0"/>
        <v>885676</v>
      </c>
    </row>
    <row r="14" spans="1:14" ht="15.75" thickBot="1" x14ac:dyDescent="0.3">
      <c r="A14" s="4">
        <v>11</v>
      </c>
      <c r="B14" s="10" t="s">
        <v>22</v>
      </c>
      <c r="C14" s="142">
        <f>[1]STA_SP1_NO!$C$124</f>
        <v>10</v>
      </c>
      <c r="D14" s="145">
        <f>[2]STA_SP1_NO!$C$124</f>
        <v>158</v>
      </c>
      <c r="E14" s="142">
        <f>[3]STA_SP1_NO!$C$124</f>
        <v>0</v>
      </c>
      <c r="F14" s="144">
        <f>[4]STA_SP1_NO!$C$124</f>
        <v>0</v>
      </c>
      <c r="G14" s="316">
        <f>[5]STA_SP1_NO!$C$124</f>
        <v>5</v>
      </c>
      <c r="H14" s="144">
        <f>[6]STA_SP1_NO!$C$124</f>
        <v>0</v>
      </c>
      <c r="I14" s="316">
        <f>[7]STA_SP1_NO!$C$124</f>
        <v>0</v>
      </c>
      <c r="J14" s="144">
        <f>[8]STA_SP1_NO!$C$124</f>
        <v>59</v>
      </c>
      <c r="K14" s="316">
        <f>[9]STA_SP1_NO!$C$124</f>
        <v>0</v>
      </c>
      <c r="L14" s="328">
        <f>[10]STA_SP1_NO!$C$124</f>
        <v>2</v>
      </c>
      <c r="M14" s="330">
        <f>[11]STA_SP1_NO!$C$124</f>
        <v>0</v>
      </c>
      <c r="N14" s="237">
        <f t="shared" si="0"/>
        <v>234</v>
      </c>
    </row>
    <row r="15" spans="1:14" ht="15.75" thickBot="1" x14ac:dyDescent="0.3">
      <c r="A15" s="4">
        <v>12</v>
      </c>
      <c r="B15" s="10" t="s">
        <v>23</v>
      </c>
      <c r="C15" s="142">
        <f>[1]STA_SP1_NO!$C$128</f>
        <v>194</v>
      </c>
      <c r="D15" s="145">
        <f>[2]STA_SP1_NO!$C$128</f>
        <v>54</v>
      </c>
      <c r="E15" s="142">
        <f>[3]STA_SP1_NO!$C$128</f>
        <v>27</v>
      </c>
      <c r="F15" s="144">
        <f>[4]STA_SP1_NO!$C$128</f>
        <v>305</v>
      </c>
      <c r="G15" s="316">
        <f>[5]STA_SP1_NO!$C$128</f>
        <v>239</v>
      </c>
      <c r="H15" s="144">
        <f>[6]STA_SP1_NO!$C$128</f>
        <v>0</v>
      </c>
      <c r="I15" s="316">
        <f>[7]STA_SP1_NO!$C$128</f>
        <v>168</v>
      </c>
      <c r="J15" s="144">
        <f>[8]STA_SP1_NO!$C$128</f>
        <v>225</v>
      </c>
      <c r="K15" s="316">
        <f>[9]STA_SP1_NO!$C$128</f>
        <v>100</v>
      </c>
      <c r="L15" s="328">
        <f>[10]STA_SP1_NO!$C$128</f>
        <v>50</v>
      </c>
      <c r="M15" s="330">
        <f>[11]STA_SP1_NO!$C$128</f>
        <v>0</v>
      </c>
      <c r="N15" s="237">
        <f t="shared" si="0"/>
        <v>1362</v>
      </c>
    </row>
    <row r="16" spans="1:14" ht="15.75" thickBot="1" x14ac:dyDescent="0.3">
      <c r="A16" s="4">
        <v>13</v>
      </c>
      <c r="B16" s="10" t="s">
        <v>24</v>
      </c>
      <c r="C16" s="142">
        <f>[1]STA_SP1_NO!$C$132</f>
        <v>4738</v>
      </c>
      <c r="D16" s="145">
        <f>[2]STA_SP1_NO!$C$132</f>
        <v>7047</v>
      </c>
      <c r="E16" s="142">
        <f>[3]STA_SP1_NO!$C$132</f>
        <v>812</v>
      </c>
      <c r="F16" s="144">
        <f>[4]STA_SP1_NO!$C$132</f>
        <v>13343</v>
      </c>
      <c r="G16" s="316">
        <f>[5]STA_SP1_NO!$C$132</f>
        <v>10946</v>
      </c>
      <c r="H16" s="144">
        <f>[6]STA_SP1_NO!$C$132</f>
        <v>276</v>
      </c>
      <c r="I16" s="316">
        <f>[7]STA_SP1_NO!$C$132</f>
        <v>1989</v>
      </c>
      <c r="J16" s="144">
        <f>[8]STA_SP1_NO!$C$132</f>
        <v>3452</v>
      </c>
      <c r="K16" s="316">
        <f>[9]STA_SP1_NO!$C$132</f>
        <v>2669</v>
      </c>
      <c r="L16" s="328">
        <f>[10]STA_SP1_NO!$C$132</f>
        <v>15336</v>
      </c>
      <c r="M16" s="330">
        <f>[11]STA_SP1_NO!$C$132</f>
        <v>22</v>
      </c>
      <c r="N16" s="237">
        <f t="shared" si="0"/>
        <v>60630</v>
      </c>
    </row>
    <row r="17" spans="1:14" ht="15.75" thickBot="1" x14ac:dyDescent="0.3">
      <c r="A17" s="4">
        <v>14</v>
      </c>
      <c r="B17" s="10" t="s">
        <v>25</v>
      </c>
      <c r="C17" s="142">
        <f>[1]STA_SP1_NO!$C$153</f>
        <v>1422</v>
      </c>
      <c r="D17" s="145">
        <f>[2]STA_SP1_NO!$C$153</f>
        <v>10348</v>
      </c>
      <c r="E17" s="142">
        <f>[3]STA_SP1_NO!$C$153</f>
        <v>47</v>
      </c>
      <c r="F17" s="144">
        <f>[4]STA_SP1_NO!$C$153</f>
        <v>37</v>
      </c>
      <c r="G17" s="316">
        <f>[5]STA_SP1_NO!$C$153</f>
        <v>0</v>
      </c>
      <c r="H17" s="144">
        <f>[6]STA_SP1_NO!$C$153</f>
        <v>0</v>
      </c>
      <c r="I17" s="316">
        <f>[7]STA_SP1_NO!$C$153</f>
        <v>0</v>
      </c>
      <c r="J17" s="144">
        <f>[8]STA_SP1_NO!$C$153</f>
        <v>0</v>
      </c>
      <c r="K17" s="316">
        <f>[9]STA_SP1_NO!$C$153</f>
        <v>3377</v>
      </c>
      <c r="L17" s="328">
        <f>[10]STA_SP1_NO!$C$153</f>
        <v>591</v>
      </c>
      <c r="M17" s="330">
        <f>[11]STA_SP1_NO!$C$153</f>
        <v>0</v>
      </c>
      <c r="N17" s="237">
        <f t="shared" si="0"/>
        <v>15822</v>
      </c>
    </row>
    <row r="18" spans="1:14" ht="15.75" thickBot="1" x14ac:dyDescent="0.3">
      <c r="A18" s="4">
        <v>15</v>
      </c>
      <c r="B18" s="10" t="s">
        <v>26</v>
      </c>
      <c r="C18" s="142">
        <f>[1]STA_SP1_NO!$C$158</f>
        <v>0</v>
      </c>
      <c r="D18" s="145">
        <f>[2]STA_SP1_NO!$C$158</f>
        <v>0</v>
      </c>
      <c r="E18" s="142">
        <f>[3]STA_SP1_NO!$C$158</f>
        <v>7</v>
      </c>
      <c r="F18" s="144">
        <f>[4]STA_SP1_NO!$C$158</f>
        <v>0</v>
      </c>
      <c r="G18" s="316">
        <f>[5]STA_SP1_NO!$C$158</f>
        <v>18</v>
      </c>
      <c r="H18" s="144">
        <f>[6]STA_SP1_NO!$C$158</f>
        <v>0</v>
      </c>
      <c r="I18" s="316">
        <f>[7]STA_SP1_NO!$C$158</f>
        <v>0</v>
      </c>
      <c r="J18" s="144">
        <f>[8]STA_SP1_NO!$C$158</f>
        <v>0</v>
      </c>
      <c r="K18" s="316">
        <f>[9]STA_SP1_NO!$C$158</f>
        <v>4</v>
      </c>
      <c r="L18" s="328">
        <f>[10]STA_SP1_NO!$C$158</f>
        <v>0</v>
      </c>
      <c r="M18" s="330">
        <f>[11]STA_SP1_NO!$C$158</f>
        <v>0</v>
      </c>
      <c r="N18" s="237">
        <f t="shared" si="0"/>
        <v>29</v>
      </c>
    </row>
    <row r="19" spans="1:14" ht="15.75" thickBot="1" x14ac:dyDescent="0.3">
      <c r="A19" s="4">
        <v>16</v>
      </c>
      <c r="B19" s="10" t="s">
        <v>27</v>
      </c>
      <c r="C19" s="142">
        <f>[1]STA_SP1_NO!$C$161</f>
        <v>24</v>
      </c>
      <c r="D19" s="145">
        <f>[2]STA_SP1_NO!$C$161</f>
        <v>50</v>
      </c>
      <c r="E19" s="142">
        <f>[3]STA_SP1_NO!$C$161</f>
        <v>5</v>
      </c>
      <c r="F19" s="144">
        <f>[4]STA_SP1_NO!$C$161</f>
        <v>220</v>
      </c>
      <c r="G19" s="316">
        <f>[5]STA_SP1_NO!$C$161</f>
        <v>780</v>
      </c>
      <c r="H19" s="144">
        <f>[6]STA_SP1_NO!$C$161</f>
        <v>0</v>
      </c>
      <c r="I19" s="316">
        <f>[7]STA_SP1_NO!$C$161</f>
        <v>18</v>
      </c>
      <c r="J19" s="144">
        <f>[8]STA_SP1_NO!$C$161</f>
        <v>0</v>
      </c>
      <c r="K19" s="316">
        <f>[9]STA_SP1_NO!$C$161</f>
        <v>27</v>
      </c>
      <c r="L19" s="328">
        <f>[10]STA_SP1_NO!$C$161</f>
        <v>15</v>
      </c>
      <c r="M19" s="330">
        <f>[11]STA_SP1_NO!$C$161</f>
        <v>0</v>
      </c>
      <c r="N19" s="237">
        <f t="shared" si="0"/>
        <v>1139</v>
      </c>
    </row>
    <row r="20" spans="1:14" ht="15.75" thickBot="1" x14ac:dyDescent="0.3">
      <c r="A20" s="4">
        <v>17</v>
      </c>
      <c r="B20" s="10" t="s">
        <v>28</v>
      </c>
      <c r="C20" s="142">
        <f>[1]STA_SP1_NO!$C$167</f>
        <v>0</v>
      </c>
      <c r="D20" s="145">
        <f>[2]STA_SP1_NO!$C$167</f>
        <v>0</v>
      </c>
      <c r="E20" s="142">
        <f>[3]STA_SP1_NO!$C$167</f>
        <v>0</v>
      </c>
      <c r="F20" s="144">
        <f>[4]STA_SP1_NO!$C$167</f>
        <v>0</v>
      </c>
      <c r="G20" s="316">
        <f>[5]STA_SP1_NO!$C$167</f>
        <v>0</v>
      </c>
      <c r="H20" s="144">
        <f>[6]STA_SP1_NO!$C$167</f>
        <v>0</v>
      </c>
      <c r="I20" s="316">
        <f>[7]STA_SP1_NO!$C$167</f>
        <v>0</v>
      </c>
      <c r="J20" s="144">
        <f>[8]STA_SP1_NO!$C$167</f>
        <v>0</v>
      </c>
      <c r="K20" s="316">
        <f>[9]STA_SP1_NO!$C$167</f>
        <v>0</v>
      </c>
      <c r="L20" s="328">
        <f>[10]STA_SP1_NO!$C$167</f>
        <v>1</v>
      </c>
      <c r="M20" s="330">
        <f>[11]STA_SP1_NO!$C$167</f>
        <v>0</v>
      </c>
      <c r="N20" s="237">
        <f t="shared" si="0"/>
        <v>1</v>
      </c>
    </row>
    <row r="21" spans="1:14" ht="15.75" thickBot="1" x14ac:dyDescent="0.3">
      <c r="A21" s="6">
        <v>18</v>
      </c>
      <c r="B21" s="11" t="s">
        <v>29</v>
      </c>
      <c r="C21" s="142">
        <f>[1]STA_SP1_NO!$C$170</f>
        <v>31521</v>
      </c>
      <c r="D21" s="145">
        <f>[2]STA_SP1_NO!$C$170</f>
        <v>100248</v>
      </c>
      <c r="E21" s="142">
        <f>[3]STA_SP1_NO!$C$170</f>
        <v>15694</v>
      </c>
      <c r="F21" s="144">
        <f>[4]STA_SP1_NO!$C$170</f>
        <v>77935</v>
      </c>
      <c r="G21" s="316">
        <f>[5]STA_SP1_NO!$C$170</f>
        <v>93084</v>
      </c>
      <c r="H21" s="144">
        <f>[6]STA_SP1_NO!$C$170</f>
        <v>8746</v>
      </c>
      <c r="I21" s="316">
        <f>[7]STA_SP1_NO!$C$170</f>
        <v>44268</v>
      </c>
      <c r="J21" s="144">
        <f>[8]STA_SP1_NO!$C$170</f>
        <v>28244</v>
      </c>
      <c r="K21" s="316">
        <f>[9]STA_SP1_NO!$C$170</f>
        <v>17618</v>
      </c>
      <c r="L21" s="144">
        <f>[10]STA_SP1_NO!$C$170</f>
        <v>34439</v>
      </c>
      <c r="M21" s="330">
        <f>[11]STA_SP1_NO!$C$170</f>
        <v>186</v>
      </c>
      <c r="N21" s="239">
        <f t="shared" si="0"/>
        <v>451983</v>
      </c>
    </row>
    <row r="22" spans="1:14" ht="15.75" thickBot="1" x14ac:dyDescent="0.3">
      <c r="A22" s="7"/>
      <c r="B22" s="19" t="s">
        <v>30</v>
      </c>
      <c r="C22" s="111">
        <f>[1]STA_SP1_NO!$C$175</f>
        <v>175103</v>
      </c>
      <c r="D22" s="112">
        <f>[2]STA_SP1_NO!$C$175</f>
        <v>218654</v>
      </c>
      <c r="E22" s="113">
        <f>[3]STA_SP1_NO!$C$175</f>
        <v>102821</v>
      </c>
      <c r="F22" s="323">
        <f>[4]STA_SP1_NO!$C$175</f>
        <v>210645</v>
      </c>
      <c r="G22" s="325">
        <f>[5]STA_SP1_NO!$C$175</f>
        <v>181113</v>
      </c>
      <c r="H22" s="323">
        <f>[6]STA_SP1_NO!$C$175</f>
        <v>108068</v>
      </c>
      <c r="I22" s="325">
        <f>[7]STA_SP1_NO!$C$175</f>
        <v>200777</v>
      </c>
      <c r="J22" s="323">
        <f>[8]STA_SP1_NO!$C$175</f>
        <v>122829</v>
      </c>
      <c r="K22" s="325">
        <f>[9]STA_SP1_NO!$C$175</f>
        <v>111610</v>
      </c>
      <c r="L22" s="323">
        <f>[10]STA_SP1_NO!$C$175</f>
        <v>194425</v>
      </c>
      <c r="M22" s="331">
        <f>[11]STA_SP1_NO!$C$175</f>
        <v>7521</v>
      </c>
      <c r="N22" s="240">
        <f t="shared" si="0"/>
        <v>1633566</v>
      </c>
    </row>
    <row r="23" spans="1:14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75" thickBot="1" x14ac:dyDescent="0.3">
      <c r="A24" s="417" t="s">
        <v>31</v>
      </c>
      <c r="B24" s="418"/>
      <c r="C24" s="23">
        <f>C22/N22</f>
        <v>0.10719064916875107</v>
      </c>
      <c r="D24" s="24">
        <f>D22/N22</f>
        <v>0.13385072901860101</v>
      </c>
      <c r="E24" s="25">
        <f>E22/N22</f>
        <v>6.2942666534440611E-2</v>
      </c>
      <c r="F24" s="327">
        <f>F22/N22</f>
        <v>0.12894795802557105</v>
      </c>
      <c r="G24" s="326">
        <f>G22/N22</f>
        <v>0.11086971692603788</v>
      </c>
      <c r="H24" s="327">
        <f>H22/N22</f>
        <v>6.6154657969130115E-2</v>
      </c>
      <c r="I24" s="326">
        <f>I22/N22</f>
        <v>0.12290718587433871</v>
      </c>
      <c r="J24" s="327">
        <f>J22/N22</f>
        <v>7.5190717730413095E-2</v>
      </c>
      <c r="K24" s="326">
        <f>K22/N22</f>
        <v>6.8322920530912129E-2</v>
      </c>
      <c r="L24" s="327">
        <f>L22/N22</f>
        <v>0.11901876018477368</v>
      </c>
      <c r="M24" s="332">
        <f>M22/N22</f>
        <v>4.6040380370306437E-3</v>
      </c>
      <c r="N24" s="243">
        <f>SUM(C24:M24)</f>
        <v>1</v>
      </c>
    </row>
    <row r="25" spans="1:14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thickBot="1" x14ac:dyDescent="0.3">
      <c r="A26" s="425" t="s">
        <v>0</v>
      </c>
      <c r="B26" s="427" t="s">
        <v>1</v>
      </c>
      <c r="C26" s="443" t="s">
        <v>90</v>
      </c>
      <c r="D26" s="444"/>
      <c r="E26" s="444"/>
      <c r="F26" s="444"/>
      <c r="G26" s="444"/>
      <c r="H26" s="445"/>
      <c r="I26" s="441" t="s">
        <v>3</v>
      </c>
      <c r="J26" s="1"/>
      <c r="K26" s="1"/>
      <c r="L26" s="1"/>
      <c r="M26" s="1"/>
      <c r="N26" s="1"/>
    </row>
    <row r="27" spans="1:14" ht="15.75" thickBot="1" x14ac:dyDescent="0.3">
      <c r="A27" s="426"/>
      <c r="B27" s="429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09" t="s">
        <v>95</v>
      </c>
      <c r="I27" s="442"/>
      <c r="J27" s="81"/>
      <c r="K27" s="413" t="s">
        <v>33</v>
      </c>
      <c r="L27" s="414"/>
      <c r="M27" s="230">
        <f>N22</f>
        <v>1633566</v>
      </c>
      <c r="N27" s="231">
        <f>M27/M29</f>
        <v>0.98595218249669103</v>
      </c>
    </row>
    <row r="28" spans="1:14" ht="15.75" thickBot="1" x14ac:dyDescent="0.3">
      <c r="A28" s="22">
        <v>19</v>
      </c>
      <c r="B28" s="80" t="s">
        <v>34</v>
      </c>
      <c r="C28" s="187">
        <f>[12]STA_SP1_ZO!$I$51</f>
        <v>4177</v>
      </c>
      <c r="D28" s="207">
        <f>[13]STA_SP1_ZO!$I$51</f>
        <v>1092</v>
      </c>
      <c r="E28" s="187">
        <f>[14]STA_SP1_ZO!$I$51</f>
        <v>1618</v>
      </c>
      <c r="F28" s="186">
        <f>[15]STA_SP1_ZO!$I$51</f>
        <v>11118</v>
      </c>
      <c r="G28" s="187">
        <f>[16]STA_SP1_ZO!$I$51</f>
        <v>4530</v>
      </c>
      <c r="H28" s="210">
        <f>[17]STA_SP1_ZO!$I$51</f>
        <v>740</v>
      </c>
      <c r="I28" s="241">
        <f>SUM(C28:H28)</f>
        <v>23275</v>
      </c>
      <c r="J28" s="81"/>
      <c r="K28" s="413" t="s">
        <v>34</v>
      </c>
      <c r="L28" s="414"/>
      <c r="M28" s="232">
        <f>I28</f>
        <v>23275</v>
      </c>
      <c r="N28" s="233">
        <f>M28/M29</f>
        <v>1.4047817503309008E-2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39" t="s">
        <v>3</v>
      </c>
      <c r="L29" s="440"/>
      <c r="M29" s="234">
        <f>M27+M28</f>
        <v>1656841</v>
      </c>
      <c r="N29" s="235">
        <f>M29/M29</f>
        <v>1</v>
      </c>
    </row>
    <row r="30" spans="1:14" ht="15.75" thickBot="1" x14ac:dyDescent="0.3">
      <c r="A30" s="417" t="s">
        <v>35</v>
      </c>
      <c r="B30" s="418"/>
      <c r="C30" s="23">
        <f>C28/I28</f>
        <v>0.17946294307196564</v>
      </c>
      <c r="D30" s="82">
        <f>D28/I28</f>
        <v>4.6917293233082705E-2</v>
      </c>
      <c r="E30" s="23">
        <f>E28/I28</f>
        <v>6.9516648764769068E-2</v>
      </c>
      <c r="F30" s="82">
        <f>F28/I28</f>
        <v>0.4776799140708915</v>
      </c>
      <c r="G30" s="23">
        <f>G28/I28</f>
        <v>0.19462943071965627</v>
      </c>
      <c r="H30" s="82">
        <f>H28/I28</f>
        <v>3.1793770139634803E-2</v>
      </c>
      <c r="I30" s="229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K29:L29"/>
    <mergeCell ref="A30:B30"/>
    <mergeCell ref="A26:A27"/>
    <mergeCell ref="B26:B27"/>
    <mergeCell ref="K27:L27"/>
    <mergeCell ref="I26:I27"/>
    <mergeCell ref="C26:H26"/>
    <mergeCell ref="N2:N3"/>
    <mergeCell ref="A24:B24"/>
    <mergeCell ref="C1:I1"/>
    <mergeCell ref="A2:A3"/>
    <mergeCell ref="B2:B3"/>
    <mergeCell ref="C2:M2"/>
  </mergeCells>
  <pageMargins left="0.25" right="0.25" top="0.75" bottom="0.75" header="0.3" footer="0.3"/>
  <pageSetup paperSize="9" scale="9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E22" sqref="E22"/>
    </sheetView>
  </sheetViews>
  <sheetFormatPr defaultRowHeight="15" x14ac:dyDescent="0.25"/>
  <cols>
    <col min="3" max="3" width="15" customWidth="1"/>
    <col min="4" max="4" width="17.28515625" customWidth="1"/>
    <col min="5" max="5" width="19.140625" customWidth="1"/>
    <col min="6" max="6" width="24.42578125" customWidth="1"/>
    <col min="7" max="7" width="25.85546875" customWidth="1"/>
  </cols>
  <sheetData>
    <row r="1" spans="1:8" x14ac:dyDescent="0.25">
      <c r="A1" s="173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583" t="s">
        <v>120</v>
      </c>
      <c r="C4" s="583"/>
      <c r="D4" s="583"/>
      <c r="E4" s="583"/>
      <c r="F4" s="583"/>
      <c r="G4" s="583"/>
      <c r="H4" s="583"/>
    </row>
    <row r="5" spans="1:8" x14ac:dyDescent="0.25">
      <c r="A5" s="1"/>
      <c r="B5" s="159"/>
      <c r="C5" s="160"/>
      <c r="D5" s="160"/>
      <c r="E5" s="160"/>
      <c r="F5" s="160"/>
      <c r="G5" s="160"/>
      <c r="H5" s="160"/>
    </row>
    <row r="6" spans="1:8" ht="15.75" thickBot="1" x14ac:dyDescent="0.3">
      <c r="A6" s="1"/>
      <c r="B6" s="1"/>
      <c r="C6" s="1"/>
      <c r="D6" s="1"/>
      <c r="E6" s="1"/>
      <c r="F6" s="1"/>
      <c r="G6" s="79"/>
      <c r="H6" s="1"/>
    </row>
    <row r="7" spans="1:8" ht="15" customHeight="1" x14ac:dyDescent="0.25">
      <c r="A7" s="1"/>
      <c r="B7" s="584" t="s">
        <v>3</v>
      </c>
      <c r="C7" s="585"/>
      <c r="D7" s="588" t="s">
        <v>61</v>
      </c>
      <c r="E7" s="590" t="s">
        <v>62</v>
      </c>
      <c r="F7" s="590" t="s">
        <v>63</v>
      </c>
      <c r="G7" s="592" t="s">
        <v>59</v>
      </c>
      <c r="H7" s="1"/>
    </row>
    <row r="8" spans="1:8" ht="23.25" customHeight="1" x14ac:dyDescent="0.25">
      <c r="A8" s="1"/>
      <c r="B8" s="586"/>
      <c r="C8" s="587"/>
      <c r="D8" s="589"/>
      <c r="E8" s="591"/>
      <c r="F8" s="591"/>
      <c r="G8" s="593"/>
      <c r="H8" s="1"/>
    </row>
    <row r="9" spans="1:8" ht="45" customHeight="1" x14ac:dyDescent="0.25">
      <c r="A9" s="1"/>
      <c r="B9" s="577" t="s">
        <v>64</v>
      </c>
      <c r="C9" s="578"/>
      <c r="D9" s="175">
        <f>[18]Vkupno!$C$12</f>
        <v>266</v>
      </c>
      <c r="E9" s="175">
        <f>[18]Vkupno!$D$12</f>
        <v>30044.449999999997</v>
      </c>
      <c r="F9" s="175">
        <f>[18]Vkupno!$F$12</f>
        <v>663</v>
      </c>
      <c r="G9" s="176">
        <f>[18]Vkupno!$G$12</f>
        <v>146258.32</v>
      </c>
      <c r="H9" s="1"/>
    </row>
    <row r="10" spans="1:8" ht="45" customHeight="1" x14ac:dyDescent="0.25">
      <c r="A10" s="1"/>
      <c r="B10" s="577" t="s">
        <v>65</v>
      </c>
      <c r="C10" s="578"/>
      <c r="D10" s="175">
        <f>[18]Vkupno!$C$21</f>
        <v>43</v>
      </c>
      <c r="E10" s="175">
        <f>[18]Vkupno!$D$21</f>
        <v>10776</v>
      </c>
      <c r="F10" s="175">
        <f>[18]Vkupno!$F$21</f>
        <v>199</v>
      </c>
      <c r="G10" s="176">
        <f>[18]Vkupno!$G$21</f>
        <v>46060.78</v>
      </c>
      <c r="H10" s="1"/>
    </row>
    <row r="11" spans="1:8" ht="38.25" customHeight="1" x14ac:dyDescent="0.25">
      <c r="A11" s="1"/>
      <c r="B11" s="579" t="s">
        <v>3</v>
      </c>
      <c r="C11" s="580"/>
      <c r="D11" s="177">
        <f>D9+D10</f>
        <v>309</v>
      </c>
      <c r="E11" s="178">
        <f>E9+E10</f>
        <v>40820.449999999997</v>
      </c>
      <c r="F11" s="177">
        <f>F9+F10</f>
        <v>862</v>
      </c>
      <c r="G11" s="179">
        <f>G9+G10</f>
        <v>192319.1</v>
      </c>
      <c r="H11" s="1"/>
    </row>
    <row r="12" spans="1:8" ht="53.25" customHeight="1" thickBot="1" x14ac:dyDescent="0.3">
      <c r="A12" s="1"/>
      <c r="B12" s="581" t="s">
        <v>66</v>
      </c>
      <c r="C12" s="582"/>
      <c r="D12" s="175">
        <f>[18]Vkupno!$C$22</f>
        <v>432</v>
      </c>
      <c r="E12" s="175">
        <f>[18]Vkupno!$D$22</f>
        <v>65359.64</v>
      </c>
      <c r="F12" s="175">
        <f>[18]Vkupno!$F$22</f>
        <v>559</v>
      </c>
      <c r="G12" s="176">
        <f>[18]Vkupno!$G$22</f>
        <v>139811.22999999998</v>
      </c>
      <c r="H12" s="1"/>
    </row>
  </sheetData>
  <mergeCells count="10">
    <mergeCell ref="B9:C9"/>
    <mergeCell ref="B10:C10"/>
    <mergeCell ref="B11:C11"/>
    <mergeCell ref="B12:C12"/>
    <mergeCell ref="B4:H4"/>
    <mergeCell ref="B7:C8"/>
    <mergeCell ref="D7:D8"/>
    <mergeCell ref="E7:E8"/>
    <mergeCell ref="F7:F8"/>
    <mergeCell ref="G7:G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N4" sqref="N4:N21"/>
    </sheetView>
  </sheetViews>
  <sheetFormatPr defaultRowHeight="15" x14ac:dyDescent="0.25"/>
  <cols>
    <col min="1" max="1" width="4" customWidth="1"/>
    <col min="2" max="2" width="28.42578125" customWidth="1"/>
    <col min="3" max="3" width="11" bestFit="1" customWidth="1"/>
    <col min="4" max="4" width="9.85546875" bestFit="1" customWidth="1"/>
    <col min="6" max="6" width="9.140625" customWidth="1"/>
    <col min="8" max="8" width="9.85546875" bestFit="1" customWidth="1"/>
  </cols>
  <sheetData>
    <row r="1" spans="1:14" ht="31.5" customHeight="1" thickBot="1" x14ac:dyDescent="0.3">
      <c r="A1" s="120"/>
      <c r="B1" s="120"/>
      <c r="C1" s="458" t="s">
        <v>99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155" t="s">
        <v>36</v>
      </c>
    </row>
    <row r="2" spans="1:14" ht="15.75" thickBot="1" x14ac:dyDescent="0.3">
      <c r="A2" s="461" t="s">
        <v>0</v>
      </c>
      <c r="B2" s="463" t="s">
        <v>1</v>
      </c>
      <c r="C2" s="467" t="s">
        <v>2</v>
      </c>
      <c r="D2" s="468"/>
      <c r="E2" s="468"/>
      <c r="F2" s="468"/>
      <c r="G2" s="468"/>
      <c r="H2" s="468"/>
      <c r="I2" s="468"/>
      <c r="J2" s="468"/>
      <c r="K2" s="468"/>
      <c r="L2" s="468"/>
      <c r="M2" s="469"/>
      <c r="N2" s="465" t="s">
        <v>3</v>
      </c>
    </row>
    <row r="3" spans="1:14" ht="15.75" thickBot="1" x14ac:dyDescent="0.3">
      <c r="A3" s="462"/>
      <c r="B3" s="464"/>
      <c r="C3" s="21" t="s">
        <v>69</v>
      </c>
      <c r="D3" s="27" t="s">
        <v>4</v>
      </c>
      <c r="E3" s="333" t="s">
        <v>5</v>
      </c>
      <c r="F3" s="27" t="s">
        <v>6</v>
      </c>
      <c r="G3" s="28" t="s">
        <v>8</v>
      </c>
      <c r="H3" s="167" t="s">
        <v>94</v>
      </c>
      <c r="I3" s="28" t="s">
        <v>9</v>
      </c>
      <c r="J3" s="335" t="s">
        <v>10</v>
      </c>
      <c r="K3" s="347" t="s">
        <v>93</v>
      </c>
      <c r="L3" s="337" t="s">
        <v>11</v>
      </c>
      <c r="M3" s="338" t="s">
        <v>96</v>
      </c>
      <c r="N3" s="466"/>
    </row>
    <row r="4" spans="1:14" ht="15.75" thickBot="1" x14ac:dyDescent="0.3">
      <c r="A4" s="30">
        <v>1</v>
      </c>
      <c r="B4" s="31" t="s">
        <v>12</v>
      </c>
      <c r="C4" s="143">
        <f>[1]STA_SP1_NO!$G$10</f>
        <v>45397.74</v>
      </c>
      <c r="D4" s="118">
        <f>[2]STA_SP1_NO!$G$10</f>
        <v>35364.36</v>
      </c>
      <c r="E4" s="143">
        <f>[3]STA_SP1_NO!$G$10</f>
        <v>5625</v>
      </c>
      <c r="F4" s="118">
        <f>[4]STA_SP1_NO!$G$10</f>
        <v>17260.169999999998</v>
      </c>
      <c r="G4" s="61">
        <f>[5]STA_SP1_NO!$G$10</f>
        <v>53812</v>
      </c>
      <c r="H4" s="144">
        <f>[6]STA_SP1_NO!$G$10</f>
        <v>6853.05</v>
      </c>
      <c r="I4" s="61">
        <f>[7]STA_SP1_NO!$G$10</f>
        <v>21748</v>
      </c>
      <c r="J4" s="68">
        <f>[8]STA_SP1_NO!$G$10</f>
        <v>18182</v>
      </c>
      <c r="K4" s="117">
        <f>[9]STA_SP1_NO!$G$10</f>
        <v>19296.73</v>
      </c>
      <c r="L4" s="68">
        <f>[10]STA_SP1_NO!$G$10</f>
        <v>69244</v>
      </c>
      <c r="M4" s="330">
        <f>[11]STA_SP1_NO!$G$10</f>
        <v>346</v>
      </c>
      <c r="N4" s="247">
        <f t="shared" ref="N4:N21" si="0">SUM(C4:M4)</f>
        <v>293129.05000000005</v>
      </c>
    </row>
    <row r="5" spans="1:14" ht="15.75" thickBot="1" x14ac:dyDescent="0.3">
      <c r="A5" s="32">
        <v>2</v>
      </c>
      <c r="B5" s="33" t="s">
        <v>13</v>
      </c>
      <c r="C5" s="143">
        <f>[1]STA_SP1_NO!$G$20</f>
        <v>134371.34</v>
      </c>
      <c r="D5" s="118">
        <f>[2]STA_SP1_NO!$G$20</f>
        <v>113627.8</v>
      </c>
      <c r="E5" s="143">
        <f>[3]STA_SP1_NO!$G$20</f>
        <v>7673</v>
      </c>
      <c r="F5" s="118">
        <f>[4]STA_SP1_NO!$G$20</f>
        <v>74741.399999999994</v>
      </c>
      <c r="G5" s="61">
        <f>[5]STA_SP1_NO!$G$20</f>
        <v>105294</v>
      </c>
      <c r="H5" s="144">
        <f>[6]STA_SP1_NO!$G$20</f>
        <v>0</v>
      </c>
      <c r="I5" s="61">
        <f>[7]STA_SP1_NO!$G$20</f>
        <v>60238</v>
      </c>
      <c r="J5" s="68">
        <f>[8]STA_SP1_NO!$G$20</f>
        <v>0</v>
      </c>
      <c r="K5" s="117">
        <f>[9]STA_SP1_NO!$G$20</f>
        <v>49121.86</v>
      </c>
      <c r="L5" s="68">
        <f>[10]STA_SP1_NO!$G$20</f>
        <v>117210</v>
      </c>
      <c r="M5" s="330">
        <f>[11]STA_SP1_NO!$G$20</f>
        <v>0</v>
      </c>
      <c r="N5" s="247">
        <f t="shared" si="0"/>
        <v>662277.4</v>
      </c>
    </row>
    <row r="6" spans="1:14" ht="15.75" thickBot="1" x14ac:dyDescent="0.3">
      <c r="A6" s="32">
        <v>3</v>
      </c>
      <c r="B6" s="33" t="s">
        <v>14</v>
      </c>
      <c r="C6" s="143">
        <f>[1]STA_SP1_NO!$G$24</f>
        <v>73284.14</v>
      </c>
      <c r="D6" s="118">
        <f>[2]STA_SP1_NO!$G$24</f>
        <v>72666.539999999994</v>
      </c>
      <c r="E6" s="143">
        <f>[3]STA_SP1_NO!$G$24</f>
        <v>31212</v>
      </c>
      <c r="F6" s="118">
        <f>[4]STA_SP1_NO!$G$24</f>
        <v>113124.08</v>
      </c>
      <c r="G6" s="61">
        <f>[5]STA_SP1_NO!$G$24</f>
        <v>43068</v>
      </c>
      <c r="H6" s="144">
        <f>[6]STA_SP1_NO!$G$24</f>
        <v>9039.51</v>
      </c>
      <c r="I6" s="61">
        <f>[7]STA_SP1_NO!$G$24</f>
        <v>41310</v>
      </c>
      <c r="J6" s="68">
        <f>[8]STA_SP1_NO!$G$24</f>
        <v>44389</v>
      </c>
      <c r="K6" s="117">
        <f>[9]STA_SP1_NO!$G$24</f>
        <v>59276.480000000003</v>
      </c>
      <c r="L6" s="68">
        <f>[10]STA_SP1_NO!$G$24</f>
        <v>46793</v>
      </c>
      <c r="M6" s="330">
        <f>[11]STA_SP1_NO!$G$24</f>
        <v>2882.87</v>
      </c>
      <c r="N6" s="247">
        <f t="shared" si="0"/>
        <v>537045.62</v>
      </c>
    </row>
    <row r="7" spans="1:14" ht="15.75" thickBot="1" x14ac:dyDescent="0.3">
      <c r="A7" s="32">
        <v>4</v>
      </c>
      <c r="B7" s="33" t="s">
        <v>15</v>
      </c>
      <c r="C7" s="143">
        <f>[1]STA_SP1_NO!$G$27</f>
        <v>0</v>
      </c>
      <c r="D7" s="118">
        <f>[2]STA_SP1_NO!$G$27</f>
        <v>0</v>
      </c>
      <c r="E7" s="143">
        <f>[3]STA_SP1_NO!$G$27</f>
        <v>0</v>
      </c>
      <c r="F7" s="118">
        <f>[4]STA_SP1_NO!$G$27</f>
        <v>0</v>
      </c>
      <c r="G7" s="61">
        <f>[5]STA_SP1_NO!$G$27</f>
        <v>0</v>
      </c>
      <c r="H7" s="144">
        <f>[6]STA_SP1_NO!$G$27</f>
        <v>0</v>
      </c>
      <c r="I7" s="61">
        <f>[7]STA_SP1_NO!$G$27</f>
        <v>0</v>
      </c>
      <c r="J7" s="68">
        <f>[8]STA_SP1_NO!$G$27</f>
        <v>0</v>
      </c>
      <c r="K7" s="117">
        <f>[9]STA_SP1_NO!$G$27</f>
        <v>0</v>
      </c>
      <c r="L7" s="68">
        <f>[10]STA_SP1_NO!$G$27</f>
        <v>0</v>
      </c>
      <c r="M7" s="330">
        <f>[11]STA_SP1_NO!$G$27</f>
        <v>0</v>
      </c>
      <c r="N7" s="247">
        <f t="shared" si="0"/>
        <v>0</v>
      </c>
    </row>
    <row r="8" spans="1:14" ht="15.75" thickBot="1" x14ac:dyDescent="0.3">
      <c r="A8" s="32">
        <v>5</v>
      </c>
      <c r="B8" s="33" t="s">
        <v>16</v>
      </c>
      <c r="C8" s="143">
        <f>[1]STA_SP1_NO!$G$30</f>
        <v>0</v>
      </c>
      <c r="D8" s="118">
        <f>[2]STA_SP1_NO!$G$30</f>
        <v>6412.43</v>
      </c>
      <c r="E8" s="143">
        <f>[3]STA_SP1_NO!$G$30</f>
        <v>0</v>
      </c>
      <c r="F8" s="118">
        <f>[4]STA_SP1_NO!$G$30</f>
        <v>0</v>
      </c>
      <c r="G8" s="61">
        <f>[5]STA_SP1_NO!$G$30</f>
        <v>0</v>
      </c>
      <c r="H8" s="144">
        <f>[6]STA_SP1_NO!$G$30</f>
        <v>0</v>
      </c>
      <c r="I8" s="61">
        <f>[7]STA_SP1_NO!$G$30</f>
        <v>0</v>
      </c>
      <c r="J8" s="68">
        <f>[8]STA_SP1_NO!$G$30</f>
        <v>0</v>
      </c>
      <c r="K8" s="117">
        <f>[9]STA_SP1_NO!$G$30</f>
        <v>0</v>
      </c>
      <c r="L8" s="68">
        <f>[10]STA_SP1_NO!$G$30</f>
        <v>0</v>
      </c>
      <c r="M8" s="330">
        <f>[11]STA_SP1_NO!$G$30</f>
        <v>0</v>
      </c>
      <c r="N8" s="247">
        <f t="shared" si="0"/>
        <v>6412.43</v>
      </c>
    </row>
    <row r="9" spans="1:14" ht="15.75" thickBot="1" x14ac:dyDescent="0.3">
      <c r="A9" s="32">
        <v>6</v>
      </c>
      <c r="B9" s="33" t="s">
        <v>17</v>
      </c>
      <c r="C9" s="143">
        <f>[1]STA_SP1_NO!$G$33</f>
        <v>0</v>
      </c>
      <c r="D9" s="118">
        <f>[2]STA_SP1_NO!$G$33</f>
        <v>0</v>
      </c>
      <c r="E9" s="143">
        <f>[3]STA_SP1_NO!$G$33</f>
        <v>0</v>
      </c>
      <c r="F9" s="118">
        <f>[4]STA_SP1_NO!$G$33</f>
        <v>39.79</v>
      </c>
      <c r="G9" s="61">
        <f>[5]STA_SP1_NO!$G$33</f>
        <v>0</v>
      </c>
      <c r="H9" s="144">
        <f>[6]STA_SP1_NO!$G$33</f>
        <v>0</v>
      </c>
      <c r="I9" s="61">
        <f>[7]STA_SP1_NO!$G$33</f>
        <v>0</v>
      </c>
      <c r="J9" s="68">
        <f>[8]STA_SP1_NO!$G$33</f>
        <v>0</v>
      </c>
      <c r="K9" s="117">
        <f>[9]STA_SP1_NO!$G$33</f>
        <v>1854.17</v>
      </c>
      <c r="L9" s="68">
        <f>[10]STA_SP1_NO!$G$33</f>
        <v>0</v>
      </c>
      <c r="M9" s="330">
        <f>[11]STA_SP1_NO!$G$33</f>
        <v>0</v>
      </c>
      <c r="N9" s="247">
        <f t="shared" si="0"/>
        <v>1893.96</v>
      </c>
    </row>
    <row r="10" spans="1:14" ht="15.75" thickBot="1" x14ac:dyDescent="0.3">
      <c r="A10" s="32">
        <v>7</v>
      </c>
      <c r="B10" s="33" t="s">
        <v>18</v>
      </c>
      <c r="C10" s="143">
        <f>[1]STA_SP1_NO!$G$36</f>
        <v>158.13</v>
      </c>
      <c r="D10" s="118">
        <f>[2]STA_SP1_NO!$G$36</f>
        <v>51434.64</v>
      </c>
      <c r="E10" s="143">
        <f>[3]STA_SP1_NO!$G$36</f>
        <v>36</v>
      </c>
      <c r="F10" s="118">
        <f>[4]STA_SP1_NO!$G$36</f>
        <v>5.84</v>
      </c>
      <c r="G10" s="61">
        <f>[5]STA_SP1_NO!$G$36</f>
        <v>0</v>
      </c>
      <c r="H10" s="144">
        <f>[6]STA_SP1_NO!$G$36</f>
        <v>0</v>
      </c>
      <c r="I10" s="61">
        <f>[7]STA_SP1_NO!$G$36</f>
        <v>163</v>
      </c>
      <c r="J10" s="68">
        <f>[8]STA_SP1_NO!$G$36</f>
        <v>0</v>
      </c>
      <c r="K10" s="117">
        <f>[9]STA_SP1_NO!$G$36</f>
        <v>0</v>
      </c>
      <c r="L10" s="68">
        <f>[10]STA_SP1_NO!$G$36</f>
        <v>744</v>
      </c>
      <c r="M10" s="330">
        <f>[11]STA_SP1_NO!$G$36</f>
        <v>0</v>
      </c>
      <c r="N10" s="247">
        <f t="shared" si="0"/>
        <v>52541.609999999993</v>
      </c>
    </row>
    <row r="11" spans="1:14" ht="15.75" thickBot="1" x14ac:dyDescent="0.3">
      <c r="A11" s="32">
        <v>8</v>
      </c>
      <c r="B11" s="33" t="s">
        <v>19</v>
      </c>
      <c r="C11" s="143">
        <f>[1]STA_SP1_NO!$G$40</f>
        <v>66402.58</v>
      </c>
      <c r="D11" s="118">
        <f>[2]STA_SP1_NO!$G$40</f>
        <v>6425.65</v>
      </c>
      <c r="E11" s="143">
        <f>[3]STA_SP1_NO!$G$40</f>
        <v>422</v>
      </c>
      <c r="F11" s="118">
        <f>[4]STA_SP1_NO!$G$40</f>
        <v>184686.11</v>
      </c>
      <c r="G11" s="61">
        <f>[5]STA_SP1_NO!$G$40</f>
        <v>12968</v>
      </c>
      <c r="H11" s="144">
        <f>[6]STA_SP1_NO!$G$40</f>
        <v>144.44999999999999</v>
      </c>
      <c r="I11" s="61">
        <f>[7]STA_SP1_NO!$G$40</f>
        <v>14302</v>
      </c>
      <c r="J11" s="68">
        <f>[8]STA_SP1_NO!$G$40</f>
        <v>4693</v>
      </c>
      <c r="K11" s="117">
        <f>[9]STA_SP1_NO!$G$40</f>
        <v>5486.73</v>
      </c>
      <c r="L11" s="68">
        <f>[10]STA_SP1_NO!$G$40</f>
        <v>3003</v>
      </c>
      <c r="M11" s="330">
        <f>[11]STA_SP1_NO!$G$40</f>
        <v>0</v>
      </c>
      <c r="N11" s="247">
        <f t="shared" si="0"/>
        <v>298533.51999999996</v>
      </c>
    </row>
    <row r="12" spans="1:14" ht="15.75" thickBot="1" x14ac:dyDescent="0.3">
      <c r="A12" s="32">
        <v>9</v>
      </c>
      <c r="B12" s="33" t="s">
        <v>20</v>
      </c>
      <c r="C12" s="143">
        <f>[1]STA_SP1_NO!$G$56</f>
        <v>58853.55</v>
      </c>
      <c r="D12" s="118">
        <f>[2]STA_SP1_NO!$G$56</f>
        <v>24045.77</v>
      </c>
      <c r="E12" s="143">
        <f>[3]STA_SP1_NO!$G$56</f>
        <v>6584</v>
      </c>
      <c r="F12" s="118">
        <f>[4]STA_SP1_NO!$G$56</f>
        <v>50122.92</v>
      </c>
      <c r="G12" s="61">
        <f>[5]STA_SP1_NO!$G$56</f>
        <v>3411</v>
      </c>
      <c r="H12" s="144">
        <f>[6]STA_SP1_NO!$G$56</f>
        <v>640.51</v>
      </c>
      <c r="I12" s="61">
        <f>[7]STA_SP1_NO!$G$56</f>
        <v>48882</v>
      </c>
      <c r="J12" s="68">
        <f>[8]STA_SP1_NO!$G$56</f>
        <v>6725</v>
      </c>
      <c r="K12" s="117">
        <f>[9]STA_SP1_NO!$G$56</f>
        <v>3698.98</v>
      </c>
      <c r="L12" s="68">
        <f>[10]STA_SP1_NO!$G$56</f>
        <v>10216</v>
      </c>
      <c r="M12" s="330">
        <f>[11]STA_SP1_NO!$G$56</f>
        <v>72.67</v>
      </c>
      <c r="N12" s="247">
        <f t="shared" si="0"/>
        <v>213252.40000000002</v>
      </c>
    </row>
    <row r="13" spans="1:14" ht="15.75" thickBot="1" x14ac:dyDescent="0.3">
      <c r="A13" s="32">
        <v>10</v>
      </c>
      <c r="B13" s="33" t="s">
        <v>21</v>
      </c>
      <c r="C13" s="143">
        <f>[1]STA_SP1_NO!$G$88</f>
        <v>314213.74</v>
      </c>
      <c r="D13" s="118">
        <f>[2]STA_SP1_NO!$G$88</f>
        <v>150264.39000000001</v>
      </c>
      <c r="E13" s="143">
        <f>[3]STA_SP1_NO!$G$88</f>
        <v>108172</v>
      </c>
      <c r="F13" s="118">
        <f>[4]STA_SP1_NO!$G$88</f>
        <v>159963.84</v>
      </c>
      <c r="G13" s="61">
        <f>[5]STA_SP1_NO!$G$88</f>
        <v>145748</v>
      </c>
      <c r="H13" s="144">
        <f>[6]STA_SP1_NO!$G$88</f>
        <v>169933.08</v>
      </c>
      <c r="I13" s="61">
        <f>[7]STA_SP1_NO!$G$88</f>
        <v>310632</v>
      </c>
      <c r="J13" s="68">
        <f>[8]STA_SP1_NO!$G$88</f>
        <v>136446</v>
      </c>
      <c r="K13" s="117">
        <f>[9]STA_SP1_NO!$G$88</f>
        <v>139772.91</v>
      </c>
      <c r="L13" s="68">
        <f>[10]STA_SP1_NO!$G$88</f>
        <v>163847</v>
      </c>
      <c r="M13" s="330">
        <f>[11]STA_SP1_NO!$G$88</f>
        <v>12053.44</v>
      </c>
      <c r="N13" s="247">
        <f t="shared" si="0"/>
        <v>1811046.3999999997</v>
      </c>
    </row>
    <row r="14" spans="1:14" ht="15.75" thickBot="1" x14ac:dyDescent="0.3">
      <c r="A14" s="32">
        <v>11</v>
      </c>
      <c r="B14" s="33" t="s">
        <v>22</v>
      </c>
      <c r="C14" s="143">
        <f>[1]STA_SP1_NO!$G$124</f>
        <v>0</v>
      </c>
      <c r="D14" s="118">
        <f>[2]STA_SP1_NO!$G$124</f>
        <v>0</v>
      </c>
      <c r="E14" s="143">
        <f>[3]STA_SP1_NO!$G$124</f>
        <v>0</v>
      </c>
      <c r="F14" s="118">
        <f>[4]STA_SP1_NO!$G$124</f>
        <v>0</v>
      </c>
      <c r="G14" s="61">
        <f>[5]STA_SP1_NO!$G$124</f>
        <v>0</v>
      </c>
      <c r="H14" s="144">
        <f>[6]STA_SP1_NO!$G$124</f>
        <v>0</v>
      </c>
      <c r="I14" s="61">
        <f>[7]STA_SP1_NO!$G$124</f>
        <v>0</v>
      </c>
      <c r="J14" s="68">
        <f>[8]STA_SP1_NO!$G$124</f>
        <v>0</v>
      </c>
      <c r="K14" s="117">
        <f>[9]STA_SP1_NO!$G$124</f>
        <v>0</v>
      </c>
      <c r="L14" s="68">
        <f>[10]STA_SP1_NO!$G$124</f>
        <v>0</v>
      </c>
      <c r="M14" s="330">
        <f>[11]STA_SP1_NO!$G$124</f>
        <v>0</v>
      </c>
      <c r="N14" s="247">
        <f t="shared" si="0"/>
        <v>0</v>
      </c>
    </row>
    <row r="15" spans="1:14" ht="15.75" thickBot="1" x14ac:dyDescent="0.3">
      <c r="A15" s="32">
        <v>12</v>
      </c>
      <c r="B15" s="33" t="s">
        <v>23</v>
      </c>
      <c r="C15" s="143">
        <f>[1]STA_SP1_NO!$G$128</f>
        <v>0</v>
      </c>
      <c r="D15" s="118">
        <f>[2]STA_SP1_NO!$G$128</f>
        <v>0</v>
      </c>
      <c r="E15" s="143">
        <f>[3]STA_SP1_NO!$G$128</f>
        <v>0</v>
      </c>
      <c r="F15" s="118">
        <f>[4]STA_SP1_NO!$G$128</f>
        <v>9.1</v>
      </c>
      <c r="G15" s="61">
        <f>[5]STA_SP1_NO!$G$128</f>
        <v>0</v>
      </c>
      <c r="H15" s="144">
        <f>[6]STA_SP1_NO!$G$128</f>
        <v>0</v>
      </c>
      <c r="I15" s="61">
        <f>[7]STA_SP1_NO!$G$128</f>
        <v>0</v>
      </c>
      <c r="J15" s="68">
        <f>[8]STA_SP1_NO!$G$128</f>
        <v>0</v>
      </c>
      <c r="K15" s="117">
        <f>[9]STA_SP1_NO!$G$128</f>
        <v>0</v>
      </c>
      <c r="L15" s="68">
        <f>[10]STA_SP1_NO!$G$128</f>
        <v>0</v>
      </c>
      <c r="M15" s="330">
        <f>[11]STA_SP1_NO!$G$128</f>
        <v>0</v>
      </c>
      <c r="N15" s="247">
        <f t="shared" si="0"/>
        <v>9.1</v>
      </c>
    </row>
    <row r="16" spans="1:14" ht="15.75" thickBot="1" x14ac:dyDescent="0.3">
      <c r="A16" s="32">
        <v>13</v>
      </c>
      <c r="B16" s="33" t="s">
        <v>24</v>
      </c>
      <c r="C16" s="143">
        <f>[1]STA_SP1_NO!$G$132</f>
        <v>4993.95</v>
      </c>
      <c r="D16" s="118">
        <f>[2]STA_SP1_NO!$G$132</f>
        <v>649.25</v>
      </c>
      <c r="E16" s="143">
        <f>[3]STA_SP1_NO!$G$132</f>
        <v>227</v>
      </c>
      <c r="F16" s="118">
        <f>[4]STA_SP1_NO!$G$132</f>
        <v>1836.04</v>
      </c>
      <c r="G16" s="61">
        <f>[5]STA_SP1_NO!$G$132</f>
        <v>2473</v>
      </c>
      <c r="H16" s="144">
        <f>[6]STA_SP1_NO!$G$132</f>
        <v>88.43</v>
      </c>
      <c r="I16" s="61">
        <f>[7]STA_SP1_NO!$G$132</f>
        <v>1826</v>
      </c>
      <c r="J16" s="68">
        <f>[8]STA_SP1_NO!$G$132</f>
        <v>3854</v>
      </c>
      <c r="K16" s="117">
        <f>[9]STA_SP1_NO!$G$132</f>
        <v>191.2</v>
      </c>
      <c r="L16" s="68">
        <f>[10]STA_SP1_NO!$G$132</f>
        <v>966</v>
      </c>
      <c r="M16" s="330">
        <f>[11]STA_SP1_NO!$G$132</f>
        <v>0</v>
      </c>
      <c r="N16" s="247">
        <f t="shared" si="0"/>
        <v>17104.870000000003</v>
      </c>
    </row>
    <row r="17" spans="1:14" ht="15.75" thickBot="1" x14ac:dyDescent="0.3">
      <c r="A17" s="32">
        <v>14</v>
      </c>
      <c r="B17" s="33" t="s">
        <v>25</v>
      </c>
      <c r="C17" s="143">
        <f>[1]STA_SP1_NO!$G$153</f>
        <v>295.12</v>
      </c>
      <c r="D17" s="118">
        <f>[2]STA_SP1_NO!$G$153</f>
        <v>940.65</v>
      </c>
      <c r="E17" s="143">
        <f>[3]STA_SP1_NO!$G$153</f>
        <v>0</v>
      </c>
      <c r="F17" s="118">
        <f>[4]STA_SP1_NO!$G$153</f>
        <v>0</v>
      </c>
      <c r="G17" s="61">
        <f>[5]STA_SP1_NO!$G$153</f>
        <v>0</v>
      </c>
      <c r="H17" s="144">
        <f>[6]STA_SP1_NO!$G$153</f>
        <v>0</v>
      </c>
      <c r="I17" s="61">
        <f>[7]STA_SP1_NO!$G$153</f>
        <v>0</v>
      </c>
      <c r="J17" s="68">
        <f>[8]STA_SP1_NO!$G$153</f>
        <v>0</v>
      </c>
      <c r="K17" s="117">
        <f>[9]STA_SP1_NO!$G$153</f>
        <v>2</v>
      </c>
      <c r="L17" s="68">
        <f>[10]STA_SP1_NO!$G$153</f>
        <v>9</v>
      </c>
      <c r="M17" s="330">
        <f>[11]STA_SP1_NO!$G$153</f>
        <v>0</v>
      </c>
      <c r="N17" s="247">
        <f t="shared" si="0"/>
        <v>1246.77</v>
      </c>
    </row>
    <row r="18" spans="1:14" ht="15.75" thickBot="1" x14ac:dyDescent="0.3">
      <c r="A18" s="32">
        <v>15</v>
      </c>
      <c r="B18" s="33" t="s">
        <v>26</v>
      </c>
      <c r="C18" s="143">
        <f>[1]STA_SP1_NO!$G$158</f>
        <v>0</v>
      </c>
      <c r="D18" s="118">
        <f>[2]STA_SP1_NO!$G$158</f>
        <v>0</v>
      </c>
      <c r="E18" s="143">
        <f>[3]STA_SP1_NO!$G$158</f>
        <v>0</v>
      </c>
      <c r="F18" s="118">
        <f>[4]STA_SP1_NO!$G$158</f>
        <v>0</v>
      </c>
      <c r="G18" s="61">
        <f>[5]STA_SP1_NO!$G$158</f>
        <v>0</v>
      </c>
      <c r="H18" s="144">
        <f>[6]STA_SP1_NO!$G$158</f>
        <v>0</v>
      </c>
      <c r="I18" s="61">
        <f>[7]STA_SP1_NO!$G$158</f>
        <v>0</v>
      </c>
      <c r="J18" s="68">
        <f>[8]STA_SP1_NO!$G$158</f>
        <v>0</v>
      </c>
      <c r="K18" s="117">
        <f>[9]STA_SP1_NO!$G$158</f>
        <v>0</v>
      </c>
      <c r="L18" s="68">
        <f>[10]STA_SP1_NO!$G$158</f>
        <v>0</v>
      </c>
      <c r="M18" s="330">
        <f>[11]STA_SP1_NO!$G$158</f>
        <v>0</v>
      </c>
      <c r="N18" s="247">
        <f t="shared" si="0"/>
        <v>0</v>
      </c>
    </row>
    <row r="19" spans="1:14" ht="15.75" thickBot="1" x14ac:dyDescent="0.3">
      <c r="A19" s="32">
        <v>16</v>
      </c>
      <c r="B19" s="33" t="s">
        <v>27</v>
      </c>
      <c r="C19" s="143">
        <f>[1]STA_SP1_NO!$G$161</f>
        <v>25.28</v>
      </c>
      <c r="D19" s="118">
        <f>[2]STA_SP1_NO!$G$161</f>
        <v>0</v>
      </c>
      <c r="E19" s="143">
        <f>[3]STA_SP1_NO!$G$161</f>
        <v>0</v>
      </c>
      <c r="F19" s="118">
        <f>[4]STA_SP1_NO!$G$161</f>
        <v>463</v>
      </c>
      <c r="G19" s="61">
        <f>[5]STA_SP1_NO!$G$161</f>
        <v>0</v>
      </c>
      <c r="H19" s="144">
        <f>[6]STA_SP1_NO!$G$161</f>
        <v>0</v>
      </c>
      <c r="I19" s="61">
        <f>[7]STA_SP1_NO!$G$161</f>
        <v>294</v>
      </c>
      <c r="J19" s="68">
        <f>[8]STA_SP1_NO!$G$161</f>
        <v>0</v>
      </c>
      <c r="K19" s="117">
        <f>[9]STA_SP1_NO!$G$161</f>
        <v>0</v>
      </c>
      <c r="L19" s="68">
        <f>[10]STA_SP1_NO!$G$161</f>
        <v>0</v>
      </c>
      <c r="M19" s="330">
        <f>[11]STA_SP1_NO!$G$161</f>
        <v>0</v>
      </c>
      <c r="N19" s="247">
        <f t="shared" si="0"/>
        <v>782.28</v>
      </c>
    </row>
    <row r="20" spans="1:14" ht="15.75" thickBot="1" x14ac:dyDescent="0.3">
      <c r="A20" s="32">
        <v>17</v>
      </c>
      <c r="B20" s="33" t="s">
        <v>28</v>
      </c>
      <c r="C20" s="143">
        <f>[1]STA_SP1_NO!$G$167</f>
        <v>0</v>
      </c>
      <c r="D20" s="118">
        <f>[2]STA_SP1_NO!$G$167</f>
        <v>0</v>
      </c>
      <c r="E20" s="143">
        <f>[3]STA_SP1_NO!$G$167</f>
        <v>0</v>
      </c>
      <c r="F20" s="118">
        <f>[4]STA_SP1_NO!$G$167</f>
        <v>0</v>
      </c>
      <c r="G20" s="61">
        <f>[5]STA_SP1_NO!$G$167</f>
        <v>0</v>
      </c>
      <c r="H20" s="144">
        <f>[6]STA_SP1_NO!$G$167</f>
        <v>0</v>
      </c>
      <c r="I20" s="61">
        <f>[7]STA_SP1_NO!$G$167</f>
        <v>0</v>
      </c>
      <c r="J20" s="68">
        <f>[8]STA_SP1_NO!$G$167</f>
        <v>0</v>
      </c>
      <c r="K20" s="117">
        <f>[9]STA_SP1_NO!$G$167</f>
        <v>0</v>
      </c>
      <c r="L20" s="68">
        <f>[10]STA_SP1_NO!$G$167</f>
        <v>0</v>
      </c>
      <c r="M20" s="330">
        <f>[11]STA_SP1_NO!$G$167</f>
        <v>0</v>
      </c>
      <c r="N20" s="247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43">
        <f>[1]STA_SP1_NO!$G$170</f>
        <v>6754.7</v>
      </c>
      <c r="D21" s="118">
        <f>[2]STA_SP1_NO!$G$170</f>
        <v>14122.97</v>
      </c>
      <c r="E21" s="143">
        <f>[3]STA_SP1_NO!$G$170</f>
        <v>2726</v>
      </c>
      <c r="F21" s="118">
        <f>[4]STA_SP1_NO!$G$170</f>
        <v>17755.91</v>
      </c>
      <c r="G21" s="61">
        <f>[5]STA_SP1_NO!$G$170</f>
        <v>12090</v>
      </c>
      <c r="H21" s="144">
        <f>[6]STA_SP1_NO!$G$170</f>
        <v>957.15</v>
      </c>
      <c r="I21" s="61">
        <f>[7]STA_SP1_NO!$G$170</f>
        <v>3859</v>
      </c>
      <c r="J21" s="68">
        <f>[8]STA_SP1_NO!$G$170</f>
        <v>4826</v>
      </c>
      <c r="K21" s="117">
        <f>[9]STA_SP1_NO!$G$170</f>
        <v>1265.3399999999999</v>
      </c>
      <c r="L21" s="68">
        <f>[10]STA_SP1_NO!$G$170</f>
        <v>4202</v>
      </c>
      <c r="M21" s="330">
        <f>[11]STA_SP1_NO!$G$170</f>
        <v>0</v>
      </c>
      <c r="N21" s="247">
        <f t="shared" si="0"/>
        <v>68559.070000000007</v>
      </c>
    </row>
    <row r="22" spans="1:14" ht="15.75" thickBot="1" x14ac:dyDescent="0.3">
      <c r="A22" s="36"/>
      <c r="B22" s="37" t="s">
        <v>37</v>
      </c>
      <c r="C22" s="110">
        <f t="shared" ref="C22:N22" si="1">SUM(C4:C21)</f>
        <v>704750.2699999999</v>
      </c>
      <c r="D22" s="39">
        <f t="shared" si="1"/>
        <v>475954.45000000007</v>
      </c>
      <c r="E22" s="40">
        <f t="shared" si="1"/>
        <v>162677</v>
      </c>
      <c r="F22" s="39">
        <f t="shared" si="1"/>
        <v>620008.20000000007</v>
      </c>
      <c r="G22" s="41">
        <f t="shared" si="1"/>
        <v>378864</v>
      </c>
      <c r="H22" s="42">
        <f t="shared" si="1"/>
        <v>187656.17999999996</v>
      </c>
      <c r="I22" s="41">
        <f t="shared" si="1"/>
        <v>503254</v>
      </c>
      <c r="J22" s="336">
        <f t="shared" si="1"/>
        <v>219115</v>
      </c>
      <c r="K22" s="348">
        <f t="shared" si="1"/>
        <v>279966.40000000002</v>
      </c>
      <c r="L22" s="42">
        <f t="shared" si="1"/>
        <v>416234</v>
      </c>
      <c r="M22" s="331">
        <f t="shared" si="1"/>
        <v>15354.98</v>
      </c>
      <c r="N22" s="248">
        <f t="shared" si="1"/>
        <v>3963834.4799999995</v>
      </c>
    </row>
    <row r="23" spans="1:14" ht="15.75" thickBot="1" x14ac:dyDescent="0.3">
      <c r="A23" s="43"/>
      <c r="B23" s="44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339"/>
      <c r="N23" s="46"/>
    </row>
    <row r="24" spans="1:14" ht="15.75" thickBot="1" x14ac:dyDescent="0.3">
      <c r="A24" s="446" t="s">
        <v>31</v>
      </c>
      <c r="B24" s="447"/>
      <c r="C24" s="48">
        <f>C22/N22</f>
        <v>0.17779508038388123</v>
      </c>
      <c r="D24" s="47">
        <f>D22/N22</f>
        <v>0.12007424941719567</v>
      </c>
      <c r="E24" s="48">
        <f>E22/N22</f>
        <v>4.104031104749864E-2</v>
      </c>
      <c r="F24" s="47">
        <f>F22/N22</f>
        <v>0.156416268925538</v>
      </c>
      <c r="G24" s="48">
        <f>G22/N22</f>
        <v>9.5580176697993721E-2</v>
      </c>
      <c r="H24" s="334">
        <f>H22/N22</f>
        <v>4.7342082760226653E-2</v>
      </c>
      <c r="I24" s="48">
        <f>I22/N22</f>
        <v>0.12696140631987238</v>
      </c>
      <c r="J24" s="47">
        <f>J22/N22</f>
        <v>5.5278544325089989E-2</v>
      </c>
      <c r="K24" s="161">
        <f>K22/N22</f>
        <v>7.0630194427291029E-2</v>
      </c>
      <c r="L24" s="47">
        <f>L22/N22</f>
        <v>0.10500791647586659</v>
      </c>
      <c r="M24" s="340">
        <f>M22/N22</f>
        <v>3.873769219546221E-3</v>
      </c>
      <c r="N24" s="249">
        <f>SUM(C24:M24)</f>
        <v>1.0000000000000002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52" t="s">
        <v>0</v>
      </c>
      <c r="B26" s="454" t="s">
        <v>1</v>
      </c>
      <c r="C26" s="443" t="s">
        <v>90</v>
      </c>
      <c r="D26" s="444"/>
      <c r="E26" s="444"/>
      <c r="F26" s="444"/>
      <c r="G26" s="444"/>
      <c r="H26" s="445"/>
      <c r="I26" s="430" t="s">
        <v>3</v>
      </c>
      <c r="J26" s="162"/>
      <c r="K26" s="1"/>
      <c r="L26" s="1"/>
      <c r="M26" s="1"/>
      <c r="N26" s="1"/>
    </row>
    <row r="27" spans="1:14" ht="15.75" thickBot="1" x14ac:dyDescent="0.3">
      <c r="A27" s="453"/>
      <c r="B27" s="455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09" t="s">
        <v>95</v>
      </c>
      <c r="I27" s="431"/>
      <c r="J27" s="81"/>
      <c r="K27" s="456" t="s">
        <v>33</v>
      </c>
      <c r="L27" s="457"/>
      <c r="M27" s="230">
        <f>N22</f>
        <v>3963834.4799999995</v>
      </c>
      <c r="N27" s="231">
        <f>M27/M29</f>
        <v>0.82293257925533936</v>
      </c>
    </row>
    <row r="28" spans="1:14" ht="15.75" thickBot="1" x14ac:dyDescent="0.3">
      <c r="A28" s="184">
        <v>19</v>
      </c>
      <c r="B28" s="185" t="s">
        <v>34</v>
      </c>
      <c r="C28" s="183">
        <f>[12]STA_SP2_ZO!$N$51+[12]STA_SP2_ZO!$O$51</f>
        <v>359461</v>
      </c>
      <c r="D28" s="341">
        <f>[13]STA_SP2_ZO!$N$51+[13]STA_SP2_ZO!$O$51</f>
        <v>179884</v>
      </c>
      <c r="E28" s="183">
        <f>[14]STA_SP2_ZO!$O$51</f>
        <v>108025</v>
      </c>
      <c r="F28" s="186">
        <f>[15]STA_SP2_ZO!$N$51+[15]STA_SP2_ZO!$O$51</f>
        <v>55155</v>
      </c>
      <c r="G28" s="187">
        <f>[16]STA_SP2_ZO!$N$51+[16]STA_SP2_ZO!$O$51</f>
        <v>149565.51</v>
      </c>
      <c r="H28" s="188">
        <f>[17]STA_SP2_ZO!$N$51+[17]STA_SP2_ZO!$O$51</f>
        <v>793.39</v>
      </c>
      <c r="I28" s="228">
        <f>SUM(C28:H28)</f>
        <v>852883.9</v>
      </c>
      <c r="J28" s="81"/>
      <c r="K28" s="448" t="s">
        <v>34</v>
      </c>
      <c r="L28" s="449"/>
      <c r="M28" s="232">
        <f>I28</f>
        <v>852883.9</v>
      </c>
      <c r="N28" s="233">
        <f>M28/M29</f>
        <v>0.17706742074466061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0" t="s">
        <v>3</v>
      </c>
      <c r="L29" s="451"/>
      <c r="M29" s="234">
        <f>M27+M28</f>
        <v>4816718.38</v>
      </c>
      <c r="N29" s="235">
        <f>M29/M29</f>
        <v>1</v>
      </c>
    </row>
    <row r="30" spans="1:14" ht="15.75" thickBot="1" x14ac:dyDescent="0.3">
      <c r="A30" s="417" t="s">
        <v>35</v>
      </c>
      <c r="B30" s="418"/>
      <c r="C30" s="23">
        <f>C28/I28</f>
        <v>0.42146533660677615</v>
      </c>
      <c r="D30" s="82">
        <f>D28/I28</f>
        <v>0.2109126459064358</v>
      </c>
      <c r="E30" s="23">
        <f>E28/I28</f>
        <v>0.12665850533701012</v>
      </c>
      <c r="F30" s="82">
        <f>F28/I28</f>
        <v>6.4668825381743053E-2</v>
      </c>
      <c r="G30" s="23">
        <f>G28/I28</f>
        <v>0.17536444292124637</v>
      </c>
      <c r="H30" s="82">
        <f>H28/I28</f>
        <v>9.3024384678852534E-4</v>
      </c>
      <c r="I30" s="229">
        <f>I28/I28</f>
        <v>1</v>
      </c>
      <c r="J30" s="1"/>
      <c r="K30" s="1"/>
      <c r="L30" s="1"/>
      <c r="M30" s="1"/>
      <c r="N30" s="1"/>
    </row>
    <row r="35" spans="4:4" x14ac:dyDescent="0.25">
      <c r="D35" s="163"/>
    </row>
  </sheetData>
  <mergeCells count="14">
    <mergeCell ref="C1:K1"/>
    <mergeCell ref="A2:A3"/>
    <mergeCell ref="B2:B3"/>
    <mergeCell ref="N2:N3"/>
    <mergeCell ref="C2:M2"/>
    <mergeCell ref="A24:B24"/>
    <mergeCell ref="K28:L28"/>
    <mergeCell ref="K29:L29"/>
    <mergeCell ref="A30:B30"/>
    <mergeCell ref="A26:A27"/>
    <mergeCell ref="B26:B27"/>
    <mergeCell ref="K27:L27"/>
    <mergeCell ref="I26:I27"/>
    <mergeCell ref="C26:H26"/>
  </mergeCells>
  <pageMargins left="0.25" right="0.25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R16" sqref="R16"/>
    </sheetView>
  </sheetViews>
  <sheetFormatPr defaultRowHeight="15" x14ac:dyDescent="0.25"/>
  <cols>
    <col min="1" max="1" width="4.42578125" customWidth="1"/>
    <col min="2" max="2" width="28.42578125" customWidth="1"/>
    <col min="8" max="8" width="9.85546875" bestFit="1" customWidth="1"/>
  </cols>
  <sheetData>
    <row r="1" spans="1:14" ht="33" customHeight="1" thickBot="1" x14ac:dyDescent="0.3">
      <c r="A1" s="120"/>
      <c r="B1" s="120"/>
      <c r="C1" s="458" t="s">
        <v>100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26"/>
    </row>
    <row r="2" spans="1:14" ht="15.75" thickBot="1" x14ac:dyDescent="0.3">
      <c r="A2" s="461" t="s">
        <v>0</v>
      </c>
      <c r="B2" s="463" t="s">
        <v>1</v>
      </c>
      <c r="C2" s="475" t="s">
        <v>2</v>
      </c>
      <c r="D2" s="476"/>
      <c r="E2" s="476"/>
      <c r="F2" s="476"/>
      <c r="G2" s="476"/>
      <c r="H2" s="476"/>
      <c r="I2" s="476"/>
      <c r="J2" s="476"/>
      <c r="K2" s="476"/>
      <c r="L2" s="476"/>
      <c r="M2" s="477"/>
      <c r="N2" s="465" t="s">
        <v>3</v>
      </c>
    </row>
    <row r="3" spans="1:14" ht="15.75" thickBot="1" x14ac:dyDescent="0.3">
      <c r="A3" s="462"/>
      <c r="B3" s="464"/>
      <c r="C3" s="224" t="s">
        <v>69</v>
      </c>
      <c r="D3" s="244" t="s">
        <v>4</v>
      </c>
      <c r="E3" s="245" t="s">
        <v>5</v>
      </c>
      <c r="F3" s="244" t="s">
        <v>6</v>
      </c>
      <c r="G3" s="246" t="s">
        <v>8</v>
      </c>
      <c r="H3" s="250" t="s">
        <v>94</v>
      </c>
      <c r="I3" s="246" t="s">
        <v>9</v>
      </c>
      <c r="J3" s="343" t="s">
        <v>10</v>
      </c>
      <c r="K3" s="226" t="s">
        <v>93</v>
      </c>
      <c r="L3" s="252" t="s">
        <v>11</v>
      </c>
      <c r="M3" s="344" t="s">
        <v>96</v>
      </c>
      <c r="N3" s="466"/>
    </row>
    <row r="4" spans="1:14" x14ac:dyDescent="0.25">
      <c r="A4" s="30">
        <v>1</v>
      </c>
      <c r="B4" s="31" t="s">
        <v>12</v>
      </c>
      <c r="C4" s="143">
        <f>[1]STA_SP1_NO!$F$10</f>
        <v>868</v>
      </c>
      <c r="D4" s="118">
        <f>[2]STA_SP1_NO!$F$10</f>
        <v>731</v>
      </c>
      <c r="E4" s="143">
        <f>[3]STA_SP1_NO!$F$10</f>
        <v>164</v>
      </c>
      <c r="F4" s="118">
        <f>[4]STA_SP1_NO!$F$10</f>
        <v>717</v>
      </c>
      <c r="G4" s="61">
        <f>[5]STA_SP1_NO!$F$10</f>
        <v>935</v>
      </c>
      <c r="H4" s="144">
        <f>[6]STA_SP1_NO!$F$10</f>
        <v>444</v>
      </c>
      <c r="I4" s="61">
        <f>[7]STA_SP1_NO!$F$10</f>
        <v>553</v>
      </c>
      <c r="J4" s="68">
        <f>[8]STA_SP1_NO!$F$10</f>
        <v>344</v>
      </c>
      <c r="K4" s="61">
        <f>[9]STA_SP1_NO!$F$10</f>
        <v>376</v>
      </c>
      <c r="L4" s="68">
        <f>[10]STA_SP1_NO!$F$10</f>
        <v>1110</v>
      </c>
      <c r="M4" s="330">
        <f>[11]STA_SP1_NO!$F$10</f>
        <v>5</v>
      </c>
      <c r="N4" s="247">
        <f t="shared" ref="N4:N21" si="0">SUM(C4:M4)</f>
        <v>6247</v>
      </c>
    </row>
    <row r="5" spans="1:14" x14ac:dyDescent="0.25">
      <c r="A5" s="32">
        <v>2</v>
      </c>
      <c r="B5" s="33" t="s">
        <v>13</v>
      </c>
      <c r="C5" s="143">
        <f>[1]STA_SP1_NO!$F$20</f>
        <v>14718</v>
      </c>
      <c r="D5" s="118">
        <f>[2]STA_SP1_NO!$F$20</f>
        <v>11072</v>
      </c>
      <c r="E5" s="143">
        <f>[3]STA_SP1_NO!$F$20</f>
        <v>984</v>
      </c>
      <c r="F5" s="118">
        <f>[4]STA_SP1_NO!$F$20</f>
        <v>4949</v>
      </c>
      <c r="G5" s="61">
        <f>[5]STA_SP1_NO!$F$20</f>
        <v>9728</v>
      </c>
      <c r="H5" s="144">
        <f>[6]STA_SP1_NO!$F$20</f>
        <v>0</v>
      </c>
      <c r="I5" s="61">
        <f>[7]STA_SP1_NO!$F$20</f>
        <v>4999</v>
      </c>
      <c r="J5" s="68">
        <f>[8]STA_SP1_NO!$F$20</f>
        <v>0</v>
      </c>
      <c r="K5" s="61">
        <f>[9]STA_SP1_NO!$F$20</f>
        <v>4764</v>
      </c>
      <c r="L5" s="68">
        <f>[10]STA_SP1_NO!$F$20</f>
        <v>12754</v>
      </c>
      <c r="M5" s="330">
        <f>[11]STA_SP1_NO!$F$20</f>
        <v>0</v>
      </c>
      <c r="N5" s="247">
        <f t="shared" si="0"/>
        <v>63968</v>
      </c>
    </row>
    <row r="6" spans="1:14" x14ac:dyDescent="0.25">
      <c r="A6" s="32">
        <v>3</v>
      </c>
      <c r="B6" s="33" t="s">
        <v>14</v>
      </c>
      <c r="C6" s="143">
        <f>[1]STA_SP1_NO!$F$24</f>
        <v>774</v>
      </c>
      <c r="D6" s="118">
        <f>[2]STA_SP1_NO!$F$24</f>
        <v>810</v>
      </c>
      <c r="E6" s="143">
        <f>[3]STA_SP1_NO!$F$24</f>
        <v>442</v>
      </c>
      <c r="F6" s="118">
        <f>[4]STA_SP1_NO!$F$24</f>
        <v>1012</v>
      </c>
      <c r="G6" s="61">
        <f>[5]STA_SP1_NO!$F$24</f>
        <v>529</v>
      </c>
      <c r="H6" s="144">
        <f>[6]STA_SP1_NO!$F$24</f>
        <v>114</v>
      </c>
      <c r="I6" s="61">
        <f>[7]STA_SP1_NO!$F$24</f>
        <v>480</v>
      </c>
      <c r="J6" s="68">
        <f>[8]STA_SP1_NO!$F$24</f>
        <v>532</v>
      </c>
      <c r="K6" s="61">
        <f>[9]STA_SP1_NO!$F$24</f>
        <v>590</v>
      </c>
      <c r="L6" s="68">
        <f>[10]STA_SP1_NO!$F$24</f>
        <v>526</v>
      </c>
      <c r="M6" s="330">
        <f>[11]STA_SP1_NO!$F$24</f>
        <v>18</v>
      </c>
      <c r="N6" s="247">
        <f t="shared" si="0"/>
        <v>5827</v>
      </c>
    </row>
    <row r="7" spans="1:14" x14ac:dyDescent="0.25">
      <c r="A7" s="32">
        <v>4</v>
      </c>
      <c r="B7" s="33" t="s">
        <v>15</v>
      </c>
      <c r="C7" s="143">
        <f>[1]STA_SP1_NO!$F$27</f>
        <v>0</v>
      </c>
      <c r="D7" s="118">
        <f>[2]STA_SP1_NO!$F$27</f>
        <v>0</v>
      </c>
      <c r="E7" s="143">
        <f>[3]STA_SP1_NO!$F$27</f>
        <v>0</v>
      </c>
      <c r="F7" s="118">
        <f>[4]STA_SP1_NO!$F$27</f>
        <v>0</v>
      </c>
      <c r="G7" s="61">
        <f>[5]STA_SP1_NO!$F$27</f>
        <v>0</v>
      </c>
      <c r="H7" s="144">
        <f>[6]STA_SP1_NO!$F$27</f>
        <v>0</v>
      </c>
      <c r="I7" s="61">
        <f>[7]STA_SP1_NO!$F$27</f>
        <v>0</v>
      </c>
      <c r="J7" s="68">
        <f>[8]STA_SP1_NO!$F$27</f>
        <v>0</v>
      </c>
      <c r="K7" s="61">
        <f>[9]STA_SP1_NO!$F$27</f>
        <v>0</v>
      </c>
      <c r="L7" s="68">
        <f>[10]STA_SP1_NO!$F$27</f>
        <v>0</v>
      </c>
      <c r="M7" s="330">
        <f>[11]STA_SP1_NO!$F$27</f>
        <v>0</v>
      </c>
      <c r="N7" s="247">
        <f t="shared" si="0"/>
        <v>0</v>
      </c>
    </row>
    <row r="8" spans="1:14" x14ac:dyDescent="0.25">
      <c r="A8" s="32">
        <v>5</v>
      </c>
      <c r="B8" s="33" t="s">
        <v>16</v>
      </c>
      <c r="C8" s="143">
        <f>[1]STA_SP1_NO!$F$30</f>
        <v>0</v>
      </c>
      <c r="D8" s="118">
        <f>[2]STA_SP1_NO!$F$30</f>
        <v>1</v>
      </c>
      <c r="E8" s="143">
        <f>[3]STA_SP1_NO!$F$30</f>
        <v>0</v>
      </c>
      <c r="F8" s="118">
        <f>[4]STA_SP1_NO!$F$30</f>
        <v>0</v>
      </c>
      <c r="G8" s="61">
        <f>[5]STA_SP1_NO!$F$30</f>
        <v>0</v>
      </c>
      <c r="H8" s="144">
        <f>[6]STA_SP1_NO!$F$30</f>
        <v>0</v>
      </c>
      <c r="I8" s="61">
        <f>[7]STA_SP1_NO!$F$30</f>
        <v>0</v>
      </c>
      <c r="J8" s="68">
        <f>[8]STA_SP1_NO!$F$30</f>
        <v>0</v>
      </c>
      <c r="K8" s="61">
        <f>[9]STA_SP1_NO!$F$30</f>
        <v>0</v>
      </c>
      <c r="L8" s="68">
        <f>[10]STA_SP1_NO!$F$30</f>
        <v>0</v>
      </c>
      <c r="M8" s="330">
        <f>[11]STA_SP1_NO!$F$30</f>
        <v>0</v>
      </c>
      <c r="N8" s="247">
        <f t="shared" si="0"/>
        <v>1</v>
      </c>
    </row>
    <row r="9" spans="1:14" x14ac:dyDescent="0.25">
      <c r="A9" s="32">
        <v>6</v>
      </c>
      <c r="B9" s="33" t="s">
        <v>17</v>
      </c>
      <c r="C9" s="143">
        <f>[1]STA_SP1_NO!$F$33</f>
        <v>0</v>
      </c>
      <c r="D9" s="118">
        <f>[2]STA_SP1_NO!$F$33</f>
        <v>0</v>
      </c>
      <c r="E9" s="143">
        <f>[3]STA_SP1_NO!$F$33</f>
        <v>0</v>
      </c>
      <c r="F9" s="118">
        <f>[4]STA_SP1_NO!$F$33</f>
        <v>1</v>
      </c>
      <c r="G9" s="61">
        <f>[5]STA_SP1_NO!$F$33</f>
        <v>0</v>
      </c>
      <c r="H9" s="144">
        <f>[6]STA_SP1_NO!$F$33</f>
        <v>0</v>
      </c>
      <c r="I9" s="61">
        <f>[7]STA_SP1_NO!$F$33</f>
        <v>0</v>
      </c>
      <c r="J9" s="68">
        <f>[8]STA_SP1_NO!$F$33</f>
        <v>0</v>
      </c>
      <c r="K9" s="61">
        <f>[9]STA_SP1_NO!$F$33</f>
        <v>1</v>
      </c>
      <c r="L9" s="68">
        <f>[10]STA_SP1_NO!$F$33</f>
        <v>0</v>
      </c>
      <c r="M9" s="330">
        <f>[11]STA_SP1_NO!$F$33</f>
        <v>0</v>
      </c>
      <c r="N9" s="247">
        <f t="shared" si="0"/>
        <v>2</v>
      </c>
    </row>
    <row r="10" spans="1:14" x14ac:dyDescent="0.25">
      <c r="A10" s="32">
        <v>7</v>
      </c>
      <c r="B10" s="33" t="s">
        <v>18</v>
      </c>
      <c r="C10" s="143">
        <f>[1]STA_SP1_NO!$F$36</f>
        <v>4</v>
      </c>
      <c r="D10" s="118">
        <f>[2]STA_SP1_NO!$F$36</f>
        <v>2</v>
      </c>
      <c r="E10" s="143">
        <f>[3]STA_SP1_NO!$F$36</f>
        <v>1</v>
      </c>
      <c r="F10" s="118">
        <f>[4]STA_SP1_NO!$F$36</f>
        <v>2</v>
      </c>
      <c r="G10" s="61">
        <f>[5]STA_SP1_NO!$F$36</f>
        <v>0</v>
      </c>
      <c r="H10" s="144">
        <f>[6]STA_SP1_NO!$F$36</f>
        <v>0</v>
      </c>
      <c r="I10" s="61">
        <f>[7]STA_SP1_NO!$F$36</f>
        <v>11</v>
      </c>
      <c r="J10" s="68">
        <f>[8]STA_SP1_NO!$F$36</f>
        <v>0</v>
      </c>
      <c r="K10" s="61">
        <f>[9]STA_SP1_NO!$F$36</f>
        <v>0</v>
      </c>
      <c r="L10" s="68">
        <f>[10]STA_SP1_NO!$F$36</f>
        <v>1</v>
      </c>
      <c r="M10" s="330">
        <f>[11]STA_SP1_NO!$F$36</f>
        <v>0</v>
      </c>
      <c r="N10" s="247">
        <f t="shared" si="0"/>
        <v>21</v>
      </c>
    </row>
    <row r="11" spans="1:14" x14ac:dyDescent="0.25">
      <c r="A11" s="32">
        <v>8</v>
      </c>
      <c r="B11" s="33" t="s">
        <v>19</v>
      </c>
      <c r="C11" s="143">
        <f>[1]STA_SP1_NO!$F$40</f>
        <v>55</v>
      </c>
      <c r="D11" s="118">
        <f>[2]STA_SP1_NO!$F$40</f>
        <v>35</v>
      </c>
      <c r="E11" s="143">
        <f>[3]STA_SP1_NO!$F$40</f>
        <v>7</v>
      </c>
      <c r="F11" s="118">
        <f>[4]STA_SP1_NO!$F$40</f>
        <v>106</v>
      </c>
      <c r="G11" s="61">
        <f>[5]STA_SP1_NO!$F$40</f>
        <v>280</v>
      </c>
      <c r="H11" s="144">
        <f>[6]STA_SP1_NO!$F$40</f>
        <v>4</v>
      </c>
      <c r="I11" s="61">
        <f>[7]STA_SP1_NO!$F$40</f>
        <v>18</v>
      </c>
      <c r="J11" s="68">
        <f>[8]STA_SP1_NO!$F$40</f>
        <v>48</v>
      </c>
      <c r="K11" s="61">
        <f>[9]STA_SP1_NO!$F$40</f>
        <v>22</v>
      </c>
      <c r="L11" s="68">
        <f>[10]STA_SP1_NO!$F$40</f>
        <v>24</v>
      </c>
      <c r="M11" s="330">
        <f>[11]STA_SP1_NO!$F$40</f>
        <v>0</v>
      </c>
      <c r="N11" s="247">
        <f t="shared" si="0"/>
        <v>599</v>
      </c>
    </row>
    <row r="12" spans="1:14" x14ac:dyDescent="0.25">
      <c r="A12" s="32">
        <v>9</v>
      </c>
      <c r="B12" s="33" t="s">
        <v>20</v>
      </c>
      <c r="C12" s="143">
        <f>[1]STA_SP1_NO!$F$56</f>
        <v>761</v>
      </c>
      <c r="D12" s="118">
        <f>[2]STA_SP1_NO!$F$56</f>
        <v>614</v>
      </c>
      <c r="E12" s="143">
        <f>[3]STA_SP1_NO!$F$56</f>
        <v>194</v>
      </c>
      <c r="F12" s="118">
        <f>[4]STA_SP1_NO!$F$56</f>
        <v>756</v>
      </c>
      <c r="G12" s="61">
        <f>[5]STA_SP1_NO!$F$56</f>
        <v>87</v>
      </c>
      <c r="H12" s="144">
        <f>[6]STA_SP1_NO!$F$56</f>
        <v>4</v>
      </c>
      <c r="I12" s="61">
        <f>[7]STA_SP1_NO!$F$56</f>
        <v>244</v>
      </c>
      <c r="J12" s="68">
        <f>[8]STA_SP1_NO!$F$56</f>
        <v>95</v>
      </c>
      <c r="K12" s="61">
        <f>[9]STA_SP1_NO!$F$56</f>
        <v>109</v>
      </c>
      <c r="L12" s="68">
        <f>[10]STA_SP1_NO!$F$56</f>
        <v>211</v>
      </c>
      <c r="M12" s="330">
        <f>[11]STA_SP1_NO!$F$56</f>
        <v>4</v>
      </c>
      <c r="N12" s="247">
        <f t="shared" si="0"/>
        <v>3079</v>
      </c>
    </row>
    <row r="13" spans="1:14" x14ac:dyDescent="0.25">
      <c r="A13" s="32">
        <v>10</v>
      </c>
      <c r="B13" s="33" t="s">
        <v>21</v>
      </c>
      <c r="C13" s="143">
        <f>[1]STA_SP1_NO!$F$88</f>
        <v>3770</v>
      </c>
      <c r="D13" s="118">
        <f>[2]STA_SP1_NO!$F$88</f>
        <v>1861</v>
      </c>
      <c r="E13" s="143">
        <f>[3]STA_SP1_NO!$F$88</f>
        <v>1445</v>
      </c>
      <c r="F13" s="118">
        <f>[4]STA_SP1_NO!$F$88</f>
        <v>1935</v>
      </c>
      <c r="G13" s="61">
        <f>[5]STA_SP1_NO!$F$88</f>
        <v>1691</v>
      </c>
      <c r="H13" s="144">
        <f>[6]STA_SP1_NO!$F$88</f>
        <v>2999</v>
      </c>
      <c r="I13" s="61">
        <f>[7]STA_SP1_NO!$F$88</f>
        <v>4112</v>
      </c>
      <c r="J13" s="68">
        <f>[8]STA_SP1_NO!$F$88</f>
        <v>1967</v>
      </c>
      <c r="K13" s="61">
        <f>[9]STA_SP1_NO!$F$88</f>
        <v>1460</v>
      </c>
      <c r="L13" s="68">
        <f>[10]STA_SP1_NO!$F$88</f>
        <v>2323</v>
      </c>
      <c r="M13" s="330">
        <f>[11]STA_SP1_NO!$F$88</f>
        <v>185</v>
      </c>
      <c r="N13" s="247">
        <f t="shared" si="0"/>
        <v>23748</v>
      </c>
    </row>
    <row r="14" spans="1:14" x14ac:dyDescent="0.25">
      <c r="A14" s="32">
        <v>11</v>
      </c>
      <c r="B14" s="33" t="s">
        <v>22</v>
      </c>
      <c r="C14" s="143">
        <f>[1]STA_SP1_NO!$F$124</f>
        <v>0</v>
      </c>
      <c r="D14" s="118">
        <f>[2]STA_SP1_NO!$F$124</f>
        <v>0</v>
      </c>
      <c r="E14" s="143">
        <f>[3]STA_SP1_NO!$F$124</f>
        <v>0</v>
      </c>
      <c r="F14" s="118">
        <f>[4]STA_SP1_NO!$F$124</f>
        <v>0</v>
      </c>
      <c r="G14" s="61">
        <f>[5]STA_SP1_NO!$F$124</f>
        <v>0</v>
      </c>
      <c r="H14" s="144">
        <f>[6]STA_SP1_NO!$F$124</f>
        <v>0</v>
      </c>
      <c r="I14" s="61">
        <f>[7]STA_SP1_NO!$F$124</f>
        <v>0</v>
      </c>
      <c r="J14" s="68">
        <f>[8]STA_SP1_NO!$F$124</f>
        <v>0</v>
      </c>
      <c r="K14" s="61">
        <f>[9]STA_SP1_NO!$F$124</f>
        <v>0</v>
      </c>
      <c r="L14" s="68">
        <f>[10]STA_SP1_NO!$F$124</f>
        <v>0</v>
      </c>
      <c r="M14" s="330">
        <f>[11]STA_SP1_NO!$F$124</f>
        <v>0</v>
      </c>
      <c r="N14" s="247">
        <f t="shared" si="0"/>
        <v>0</v>
      </c>
    </row>
    <row r="15" spans="1:14" x14ac:dyDescent="0.25">
      <c r="A15" s="32">
        <v>12</v>
      </c>
      <c r="B15" s="33" t="s">
        <v>23</v>
      </c>
      <c r="C15" s="143">
        <f>[1]STA_SP1_NO!$F$128</f>
        <v>0</v>
      </c>
      <c r="D15" s="118">
        <f>[2]STA_SP1_NO!$F$128</f>
        <v>0</v>
      </c>
      <c r="E15" s="143">
        <f>[3]STA_SP1_NO!$F$128</f>
        <v>0</v>
      </c>
      <c r="F15" s="118">
        <f>[4]STA_SP1_NO!$F$128</f>
        <v>1</v>
      </c>
      <c r="G15" s="61">
        <f>[5]STA_SP1_NO!$F$128</f>
        <v>0</v>
      </c>
      <c r="H15" s="144">
        <f>[6]STA_SP1_NO!$F$128</f>
        <v>0</v>
      </c>
      <c r="I15" s="61">
        <f>[7]STA_SP1_NO!$F$128</f>
        <v>0</v>
      </c>
      <c r="J15" s="68">
        <f>[8]STA_SP1_NO!$F$128</f>
        <v>0</v>
      </c>
      <c r="K15" s="61">
        <f>[9]STA_SP1_NO!$F$128</f>
        <v>0</v>
      </c>
      <c r="L15" s="68">
        <f>[10]STA_SP1_NO!$F$128</f>
        <v>0</v>
      </c>
      <c r="M15" s="330">
        <f>[11]STA_SP1_NO!$F$128</f>
        <v>0</v>
      </c>
      <c r="N15" s="247">
        <f t="shared" si="0"/>
        <v>1</v>
      </c>
    </row>
    <row r="16" spans="1:14" x14ac:dyDescent="0.25">
      <c r="A16" s="32">
        <v>13</v>
      </c>
      <c r="B16" s="33" t="s">
        <v>24</v>
      </c>
      <c r="C16" s="143">
        <f>[1]STA_SP1_NO!$F$132</f>
        <v>92</v>
      </c>
      <c r="D16" s="118">
        <f>[2]STA_SP1_NO!$F$132</f>
        <v>12</v>
      </c>
      <c r="E16" s="143">
        <f>[3]STA_SP1_NO!$F$132</f>
        <v>18</v>
      </c>
      <c r="F16" s="118">
        <f>[4]STA_SP1_NO!$F$132</f>
        <v>19</v>
      </c>
      <c r="G16" s="61">
        <f>[5]STA_SP1_NO!$F$132</f>
        <v>51</v>
      </c>
      <c r="H16" s="144">
        <f>[6]STA_SP1_NO!$F$132</f>
        <v>2</v>
      </c>
      <c r="I16" s="61">
        <f>[7]STA_SP1_NO!$F$132</f>
        <v>11</v>
      </c>
      <c r="J16" s="68">
        <f>[8]STA_SP1_NO!$F$132</f>
        <v>42</v>
      </c>
      <c r="K16" s="61">
        <f>[9]STA_SP1_NO!$F$132</f>
        <v>5</v>
      </c>
      <c r="L16" s="68">
        <f>[10]STA_SP1_NO!$F$132</f>
        <v>16</v>
      </c>
      <c r="M16" s="330">
        <f>[11]STA_SP1_NO!$F$132</f>
        <v>0</v>
      </c>
      <c r="N16" s="247">
        <f t="shared" si="0"/>
        <v>268</v>
      </c>
    </row>
    <row r="17" spans="1:14" x14ac:dyDescent="0.25">
      <c r="A17" s="32">
        <v>14</v>
      </c>
      <c r="B17" s="33" t="s">
        <v>25</v>
      </c>
      <c r="C17" s="143">
        <f>[1]STA_SP1_NO!$F$153</f>
        <v>2</v>
      </c>
      <c r="D17" s="118">
        <f>[2]STA_SP1_NO!$F$153</f>
        <v>30</v>
      </c>
      <c r="E17" s="143">
        <f>[3]STA_SP1_NO!$F$153</f>
        <v>0</v>
      </c>
      <c r="F17" s="118">
        <f>[4]STA_SP1_NO!$F$153</f>
        <v>0</v>
      </c>
      <c r="G17" s="61">
        <f>[5]STA_SP1_NO!$F$153</f>
        <v>0</v>
      </c>
      <c r="H17" s="144">
        <f>[6]STA_SP1_NO!$F$153</f>
        <v>0</v>
      </c>
      <c r="I17" s="61">
        <f>[7]STA_SP1_NO!$F$153</f>
        <v>0</v>
      </c>
      <c r="J17" s="68">
        <f>[8]STA_SP1_NO!$F$153</f>
        <v>0</v>
      </c>
      <c r="K17" s="61">
        <f>[9]STA_SP1_NO!$F$153</f>
        <v>0</v>
      </c>
      <c r="L17" s="68">
        <f>[10]STA_SP1_NO!$F$153</f>
        <v>1</v>
      </c>
      <c r="M17" s="330">
        <f>[11]STA_SP1_NO!$F$153</f>
        <v>0</v>
      </c>
      <c r="N17" s="247">
        <f t="shared" si="0"/>
        <v>33</v>
      </c>
    </row>
    <row r="18" spans="1:14" x14ac:dyDescent="0.25">
      <c r="A18" s="32">
        <v>15</v>
      </c>
      <c r="B18" s="33" t="s">
        <v>26</v>
      </c>
      <c r="C18" s="143">
        <f>[1]STA_SP1_NO!$F$158</f>
        <v>0</v>
      </c>
      <c r="D18" s="118">
        <f>[2]STA_SP1_NO!$F$158</f>
        <v>0</v>
      </c>
      <c r="E18" s="143">
        <f>[3]STA_SP1_NO!$F$158</f>
        <v>0</v>
      </c>
      <c r="F18" s="118">
        <f>[4]STA_SP1_NO!$F$158</f>
        <v>0</v>
      </c>
      <c r="G18" s="61">
        <f>[5]STA_SP1_NO!$F$158</f>
        <v>0</v>
      </c>
      <c r="H18" s="144">
        <f>[6]STA_SP1_NO!$F$158</f>
        <v>0</v>
      </c>
      <c r="I18" s="61">
        <f>[7]STA_SP1_NO!$F$158</f>
        <v>0</v>
      </c>
      <c r="J18" s="68">
        <f>[8]STA_SP1_NO!$F$158</f>
        <v>0</v>
      </c>
      <c r="K18" s="61">
        <f>[9]STA_SP1_NO!$F$158</f>
        <v>0</v>
      </c>
      <c r="L18" s="68">
        <f>[10]STA_SP1_NO!$F$158</f>
        <v>0</v>
      </c>
      <c r="M18" s="330">
        <f>[11]STA_SP1_NO!$F$158</f>
        <v>0</v>
      </c>
      <c r="N18" s="247">
        <f t="shared" si="0"/>
        <v>0</v>
      </c>
    </row>
    <row r="19" spans="1:14" x14ac:dyDescent="0.25">
      <c r="A19" s="32">
        <v>16</v>
      </c>
      <c r="B19" s="33" t="s">
        <v>27</v>
      </c>
      <c r="C19" s="143">
        <f>[1]STA_SP1_NO!$F$161</f>
        <v>23</v>
      </c>
      <c r="D19" s="118">
        <f>[2]STA_SP1_NO!$F$161</f>
        <v>0</v>
      </c>
      <c r="E19" s="143">
        <f>[3]STA_SP1_NO!$F$161</f>
        <v>0</v>
      </c>
      <c r="F19" s="118">
        <f>[4]STA_SP1_NO!$F$161</f>
        <v>2</v>
      </c>
      <c r="G19" s="61">
        <f>[5]STA_SP1_NO!$F$161</f>
        <v>0</v>
      </c>
      <c r="H19" s="144">
        <f>[6]STA_SP1_NO!$F$161</f>
        <v>0</v>
      </c>
      <c r="I19" s="61">
        <f>[7]STA_SP1_NO!$F$161</f>
        <v>1</v>
      </c>
      <c r="J19" s="68">
        <f>[8]STA_SP1_NO!$F$161</f>
        <v>0</v>
      </c>
      <c r="K19" s="61">
        <f>[9]STA_SP1_NO!$F$161</f>
        <v>0</v>
      </c>
      <c r="L19" s="68">
        <f>[10]STA_SP1_NO!$F$161</f>
        <v>0</v>
      </c>
      <c r="M19" s="330">
        <f>[11]STA_SP1_NO!$F$161</f>
        <v>0</v>
      </c>
      <c r="N19" s="247">
        <f t="shared" si="0"/>
        <v>26</v>
      </c>
    </row>
    <row r="20" spans="1:14" x14ac:dyDescent="0.25">
      <c r="A20" s="32">
        <v>17</v>
      </c>
      <c r="B20" s="33" t="s">
        <v>28</v>
      </c>
      <c r="C20" s="143">
        <f>[1]STA_SP1_NO!$F$167</f>
        <v>0</v>
      </c>
      <c r="D20" s="118">
        <f>[2]STA_SP1_NO!$F$167</f>
        <v>0</v>
      </c>
      <c r="E20" s="143">
        <f>[3]STA_SP1_NO!$F$167</f>
        <v>0</v>
      </c>
      <c r="F20" s="118">
        <f>[4]STA_SP1_NO!$F$167</f>
        <v>0</v>
      </c>
      <c r="G20" s="61">
        <f>[5]STA_SP1_NO!$F$167</f>
        <v>0</v>
      </c>
      <c r="H20" s="144">
        <f>[6]STA_SP1_NO!$F$167</f>
        <v>0</v>
      </c>
      <c r="I20" s="61">
        <f>[7]STA_SP1_NO!$F$167</f>
        <v>0</v>
      </c>
      <c r="J20" s="68">
        <f>[8]STA_SP1_NO!$F$167</f>
        <v>0</v>
      </c>
      <c r="K20" s="61">
        <f>[9]STA_SP1_NO!$F$167</f>
        <v>0</v>
      </c>
      <c r="L20" s="68">
        <f>[10]STA_SP1_NO!$F$167</f>
        <v>0</v>
      </c>
      <c r="M20" s="330">
        <f>[11]STA_SP1_NO!$F$167</f>
        <v>0</v>
      </c>
      <c r="N20" s="247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43">
        <f>[1]STA_SP1_NO!$F$170</f>
        <v>271</v>
      </c>
      <c r="D21" s="118">
        <f>[2]STA_SP1_NO!$F$170</f>
        <v>708</v>
      </c>
      <c r="E21" s="143">
        <f>[3]STA_SP1_NO!$F$170</f>
        <v>105</v>
      </c>
      <c r="F21" s="118">
        <f>[4]STA_SP1_NO!$F$170</f>
        <v>748</v>
      </c>
      <c r="G21" s="61">
        <f>[5]STA_SP1_NO!$F$170</f>
        <v>379</v>
      </c>
      <c r="H21" s="144">
        <f>[6]STA_SP1_NO!$F$170</f>
        <v>86</v>
      </c>
      <c r="I21" s="61">
        <f>[7]STA_SP1_NO!$F$170</f>
        <v>239</v>
      </c>
      <c r="J21" s="68">
        <f>[8]STA_SP1_NO!$F$170</f>
        <v>248</v>
      </c>
      <c r="K21" s="61">
        <f>[9]STA_SP1_NO!$F$170</f>
        <v>79</v>
      </c>
      <c r="L21" s="68">
        <f>[10]STA_SP1_NO!$F$170</f>
        <v>261</v>
      </c>
      <c r="M21" s="330">
        <f>[11]STA_SP1_NO!$F$170</f>
        <v>0</v>
      </c>
      <c r="N21" s="247">
        <f t="shared" si="0"/>
        <v>3124</v>
      </c>
    </row>
    <row r="22" spans="1:14" ht="15.75" thickBot="1" x14ac:dyDescent="0.3">
      <c r="A22" s="36"/>
      <c r="B22" s="37" t="s">
        <v>3</v>
      </c>
      <c r="C22" s="38">
        <f>SUM(C4:C21)</f>
        <v>21338</v>
      </c>
      <c r="D22" s="51">
        <f>SUM(D4:D21)</f>
        <v>15876</v>
      </c>
      <c r="E22" s="69">
        <f t="shared" ref="E22:F22" si="1">SUM(E4:E21)</f>
        <v>3360</v>
      </c>
      <c r="F22" s="39">
        <f t="shared" si="1"/>
        <v>10248</v>
      </c>
      <c r="G22" s="41">
        <f t="shared" ref="G22:N22" si="2">SUM(G4:G21)</f>
        <v>13680</v>
      </c>
      <c r="H22" s="42">
        <f t="shared" si="2"/>
        <v>3653</v>
      </c>
      <c r="I22" s="41">
        <f t="shared" si="2"/>
        <v>10668</v>
      </c>
      <c r="J22" s="42">
        <f t="shared" si="2"/>
        <v>3276</v>
      </c>
      <c r="K22" s="41">
        <f t="shared" si="2"/>
        <v>7406</v>
      </c>
      <c r="L22" s="42">
        <f t="shared" si="2"/>
        <v>17227</v>
      </c>
      <c r="M22" s="345">
        <f t="shared" si="2"/>
        <v>212</v>
      </c>
      <c r="N22" s="248">
        <f t="shared" si="2"/>
        <v>106944</v>
      </c>
    </row>
    <row r="23" spans="1:14" ht="15.75" thickBot="1" x14ac:dyDescent="0.3">
      <c r="A23" s="43"/>
      <c r="B23" s="44"/>
      <c r="C23" s="46"/>
      <c r="D23" s="58"/>
      <c r="E23" s="58"/>
      <c r="F23" s="46"/>
      <c r="G23" s="46"/>
      <c r="H23" s="46"/>
      <c r="I23" s="46"/>
      <c r="J23" s="46"/>
      <c r="K23" s="46"/>
      <c r="L23" s="46"/>
      <c r="M23" s="346"/>
      <c r="N23" s="46"/>
    </row>
    <row r="24" spans="1:14" ht="15.75" thickBot="1" x14ac:dyDescent="0.3">
      <c r="A24" s="446" t="s">
        <v>31</v>
      </c>
      <c r="B24" s="447"/>
      <c r="C24" s="48">
        <f>C22/N22</f>
        <v>0.19952498503889887</v>
      </c>
      <c r="D24" s="47">
        <f>D22/N22</f>
        <v>0.14845152603231598</v>
      </c>
      <c r="E24" s="48">
        <f>E22/N22</f>
        <v>3.141831238779174E-2</v>
      </c>
      <c r="F24" s="47">
        <f>F22/N22</f>
        <v>9.5825852782764814E-2</v>
      </c>
      <c r="G24" s="48">
        <f>G22/N22</f>
        <v>0.12791741472172352</v>
      </c>
      <c r="H24" s="47">
        <f>H22/N22</f>
        <v>3.4158064033512868E-2</v>
      </c>
      <c r="I24" s="48">
        <f>I22/N22</f>
        <v>9.9753141831238776E-2</v>
      </c>
      <c r="J24" s="47">
        <f>J22/N22</f>
        <v>3.0632854578096946E-2</v>
      </c>
      <c r="K24" s="48">
        <f>K22/N22</f>
        <v>6.9251196888090963E-2</v>
      </c>
      <c r="L24" s="334">
        <f>L22/N22</f>
        <v>0.16108430580490724</v>
      </c>
      <c r="M24" s="340">
        <f>M22/N22</f>
        <v>1.9823459006582883E-3</v>
      </c>
      <c r="N24" s="249">
        <f>N22/N22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25" t="s">
        <v>0</v>
      </c>
      <c r="B26" s="427" t="s">
        <v>1</v>
      </c>
      <c r="C26" s="472" t="s">
        <v>90</v>
      </c>
      <c r="D26" s="473"/>
      <c r="E26" s="473"/>
      <c r="F26" s="473"/>
      <c r="G26" s="473"/>
      <c r="H26" s="474"/>
      <c r="I26" s="470" t="s">
        <v>3</v>
      </c>
      <c r="J26" s="1"/>
      <c r="K26" s="1"/>
      <c r="L26" s="1"/>
      <c r="M26" s="1"/>
      <c r="N26" s="1"/>
    </row>
    <row r="27" spans="1:14" ht="15.75" thickBot="1" x14ac:dyDescent="0.3">
      <c r="A27" s="426"/>
      <c r="B27" s="429"/>
      <c r="C27" s="189" t="s">
        <v>11</v>
      </c>
      <c r="D27" s="213" t="s">
        <v>32</v>
      </c>
      <c r="E27" s="191" t="s">
        <v>7</v>
      </c>
      <c r="F27" s="127" t="s">
        <v>9</v>
      </c>
      <c r="G27" s="211" t="s">
        <v>4</v>
      </c>
      <c r="H27" s="251" t="s">
        <v>95</v>
      </c>
      <c r="I27" s="471"/>
      <c r="J27" s="81"/>
      <c r="K27" s="456" t="s">
        <v>33</v>
      </c>
      <c r="L27" s="457"/>
      <c r="M27" s="230">
        <f>N22</f>
        <v>106944</v>
      </c>
      <c r="N27" s="231">
        <f>M27/M29</f>
        <v>0.96371992430386588</v>
      </c>
    </row>
    <row r="28" spans="1:14" ht="15.75" thickBot="1" x14ac:dyDescent="0.3">
      <c r="A28" s="22">
        <v>19</v>
      </c>
      <c r="B28" s="80" t="s">
        <v>34</v>
      </c>
      <c r="C28" s="190">
        <f>[12]STA_SP2_ZO!$L$51</f>
        <v>1803</v>
      </c>
      <c r="D28" s="192">
        <f>[13]STA_SP2_ZO!$L$51</f>
        <v>852</v>
      </c>
      <c r="E28" s="196">
        <f>[14]STA_SP2_ZO!$L$51</f>
        <v>561</v>
      </c>
      <c r="F28" s="50">
        <f>[15]STA_SP2_ZO!$L$51</f>
        <v>350</v>
      </c>
      <c r="G28" s="115">
        <f>[16]STA_SP2_ZO!$L$51</f>
        <v>456</v>
      </c>
      <c r="H28" s="212">
        <f>[17]STA_SP2_ZO!$L$51</f>
        <v>4</v>
      </c>
      <c r="I28" s="242">
        <f>SUM(C28:H28)</f>
        <v>4026</v>
      </c>
      <c r="J28" s="81"/>
      <c r="K28" s="448" t="s">
        <v>34</v>
      </c>
      <c r="L28" s="449"/>
      <c r="M28" s="232">
        <f>I28</f>
        <v>4026</v>
      </c>
      <c r="N28" s="233">
        <f>M28/M29</f>
        <v>3.628007569613409E-2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0" t="s">
        <v>3</v>
      </c>
      <c r="L29" s="451"/>
      <c r="M29" s="234">
        <f>M27+M28</f>
        <v>110970</v>
      </c>
      <c r="N29" s="235">
        <f>M29/M29</f>
        <v>1</v>
      </c>
    </row>
    <row r="30" spans="1:14" ht="15.75" thickBot="1" x14ac:dyDescent="0.3">
      <c r="A30" s="417" t="s">
        <v>35</v>
      </c>
      <c r="B30" s="418"/>
      <c r="C30" s="23">
        <f>C28/I28</f>
        <v>0.44783904619970194</v>
      </c>
      <c r="D30" s="82">
        <f>D28/I28</f>
        <v>0.21162444113263784</v>
      </c>
      <c r="E30" s="23">
        <f>E28/I28</f>
        <v>0.13934426229508196</v>
      </c>
      <c r="F30" s="82">
        <f>F28/I28</f>
        <v>8.6934923000496767E-2</v>
      </c>
      <c r="G30" s="23">
        <f>G28/I28</f>
        <v>0.11326378539493294</v>
      </c>
      <c r="H30" s="82">
        <f>H28/I28</f>
        <v>9.9354197714853452E-4</v>
      </c>
      <c r="I30" s="229">
        <f>I28/I28</f>
        <v>1</v>
      </c>
      <c r="J30" s="1"/>
      <c r="K30" s="1"/>
      <c r="L30" s="1"/>
      <c r="M30" s="1"/>
      <c r="N30" s="1"/>
    </row>
    <row r="31" spans="1:14" x14ac:dyDescent="0.25">
      <c r="H31" s="1"/>
    </row>
    <row r="32" spans="1:14" x14ac:dyDescent="0.25">
      <c r="D32" s="163"/>
    </row>
  </sheetData>
  <mergeCells count="14">
    <mergeCell ref="N2:N3"/>
    <mergeCell ref="A30:B30"/>
    <mergeCell ref="K28:L28"/>
    <mergeCell ref="C1:K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P10" sqref="P10"/>
    </sheetView>
  </sheetViews>
  <sheetFormatPr defaultRowHeight="15" x14ac:dyDescent="0.25"/>
  <cols>
    <col min="1" max="1" width="4.5703125" customWidth="1"/>
    <col min="2" max="2" width="27.85546875" customWidth="1"/>
    <col min="8" max="8" width="9.5703125" customWidth="1"/>
  </cols>
  <sheetData>
    <row r="1" spans="1:14" ht="28.5" customHeight="1" thickBot="1" x14ac:dyDescent="0.3">
      <c r="A1" s="120"/>
      <c r="B1" s="120"/>
      <c r="C1" s="458" t="s">
        <v>101</v>
      </c>
      <c r="D1" s="459"/>
      <c r="E1" s="459"/>
      <c r="F1" s="459"/>
      <c r="G1" s="459"/>
      <c r="H1" s="459"/>
      <c r="I1" s="459"/>
      <c r="J1" s="26"/>
      <c r="K1" s="26"/>
      <c r="L1" s="26"/>
      <c r="M1" s="26"/>
      <c r="N1" s="26"/>
    </row>
    <row r="2" spans="1:14" ht="15.75" thickBot="1" x14ac:dyDescent="0.3">
      <c r="A2" s="461" t="s">
        <v>0</v>
      </c>
      <c r="B2" s="463" t="s">
        <v>1</v>
      </c>
      <c r="C2" s="480" t="s">
        <v>2</v>
      </c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65" t="s">
        <v>3</v>
      </c>
    </row>
    <row r="3" spans="1:14" ht="15.75" thickBot="1" x14ac:dyDescent="0.3">
      <c r="A3" s="462"/>
      <c r="B3" s="479"/>
      <c r="C3" s="352" t="s">
        <v>69</v>
      </c>
      <c r="D3" s="305" t="s">
        <v>4</v>
      </c>
      <c r="E3" s="353" t="s">
        <v>5</v>
      </c>
      <c r="F3" s="305" t="s">
        <v>6</v>
      </c>
      <c r="G3" s="355" t="s">
        <v>8</v>
      </c>
      <c r="H3" s="354" t="s">
        <v>94</v>
      </c>
      <c r="I3" s="355" t="s">
        <v>9</v>
      </c>
      <c r="J3" s="370" t="s">
        <v>10</v>
      </c>
      <c r="K3" s="356" t="s">
        <v>93</v>
      </c>
      <c r="L3" s="305" t="s">
        <v>11</v>
      </c>
      <c r="M3" s="371" t="s">
        <v>96</v>
      </c>
      <c r="N3" s="478"/>
    </row>
    <row r="4" spans="1:14" x14ac:dyDescent="0.25">
      <c r="A4" s="30">
        <v>1</v>
      </c>
      <c r="B4" s="349" t="s">
        <v>12</v>
      </c>
      <c r="C4" s="368">
        <f>[1]STA_SP1_NO!$H$10</f>
        <v>197</v>
      </c>
      <c r="D4" s="54">
        <f>[2]STA_SP1_NO!$H$10</f>
        <v>294</v>
      </c>
      <c r="E4" s="368">
        <f>[3]STA_SP1_NO!$H$10</f>
        <v>56</v>
      </c>
      <c r="F4" s="54">
        <f>[4]STA_SP1_NO!$H$10</f>
        <v>236</v>
      </c>
      <c r="G4" s="62">
        <f>[5]STA_SP1_NO!$H$10</f>
        <v>230</v>
      </c>
      <c r="H4" s="369">
        <f>[6]STA_SP1_NO!$H$10</f>
        <v>148</v>
      </c>
      <c r="I4" s="62">
        <f>[7]STA_SP1_NO!$H$10</f>
        <v>23</v>
      </c>
      <c r="J4" s="54">
        <f>[8]STA_SP1_NO!$H$10</f>
        <v>71</v>
      </c>
      <c r="K4" s="62">
        <f>[9]STA_SP1_NO!$H$10</f>
        <v>76</v>
      </c>
      <c r="L4" s="54">
        <f>[10]STA_SP1_NO!$H$10</f>
        <v>320</v>
      </c>
      <c r="M4" s="372">
        <f>[11]STA_SP1_NO!$H$10</f>
        <v>4</v>
      </c>
      <c r="N4" s="367">
        <f t="shared" ref="N4:N22" si="0">SUM(C4:M4)</f>
        <v>1655</v>
      </c>
    </row>
    <row r="5" spans="1:14" x14ac:dyDescent="0.25">
      <c r="A5" s="32">
        <v>2</v>
      </c>
      <c r="B5" s="350" t="s">
        <v>13</v>
      </c>
      <c r="C5" s="368">
        <f>[1]STA_SP1_NO!$H$20</f>
        <v>160</v>
      </c>
      <c r="D5" s="54">
        <f>[2]STA_SP1_NO!$H$20</f>
        <v>838</v>
      </c>
      <c r="E5" s="368">
        <f>[3]STA_SP1_NO!$H$20</f>
        <v>60</v>
      </c>
      <c r="F5" s="54">
        <f>[4]STA_SP1_NO!$H$20</f>
        <v>430</v>
      </c>
      <c r="G5" s="62">
        <f>[5]STA_SP1_NO!$H$20</f>
        <v>962</v>
      </c>
      <c r="H5" s="369">
        <f>[6]STA_SP1_NO!$H$20</f>
        <v>0</v>
      </c>
      <c r="I5" s="62">
        <f>[7]STA_SP1_NO!$H$20</f>
        <v>33</v>
      </c>
      <c r="J5" s="54">
        <f>[8]STA_SP1_NO!$H$20</f>
        <v>0</v>
      </c>
      <c r="K5" s="62">
        <f>[9]STA_SP1_NO!$H$20</f>
        <v>182</v>
      </c>
      <c r="L5" s="54">
        <f>[10]STA_SP1_NO!$H$20</f>
        <v>754</v>
      </c>
      <c r="M5" s="372">
        <f>[11]STA_SP1_NO!$H$20</f>
        <v>0</v>
      </c>
      <c r="N5" s="367">
        <f t="shared" si="0"/>
        <v>3419</v>
      </c>
    </row>
    <row r="6" spans="1:14" x14ac:dyDescent="0.25">
      <c r="A6" s="32">
        <v>3</v>
      </c>
      <c r="B6" s="350" t="s">
        <v>14</v>
      </c>
      <c r="C6" s="368">
        <f>[1]STA_SP1_NO!$H$24</f>
        <v>335</v>
      </c>
      <c r="D6" s="54">
        <f>[2]STA_SP1_NO!$H$24</f>
        <v>414</v>
      </c>
      <c r="E6" s="368">
        <f>[3]STA_SP1_NO!$H$24</f>
        <v>217</v>
      </c>
      <c r="F6" s="54">
        <f>[4]STA_SP1_NO!$H$24</f>
        <v>395</v>
      </c>
      <c r="G6" s="62">
        <f>[5]STA_SP1_NO!$H$24</f>
        <v>377</v>
      </c>
      <c r="H6" s="369">
        <f>[6]STA_SP1_NO!$H$24</f>
        <v>154</v>
      </c>
      <c r="I6" s="62">
        <f>[7]STA_SP1_NO!$H$24</f>
        <v>143</v>
      </c>
      <c r="J6" s="54">
        <f>[8]STA_SP1_NO!$H$24</f>
        <v>194</v>
      </c>
      <c r="K6" s="62">
        <f>[9]STA_SP1_NO!$H$24</f>
        <v>158</v>
      </c>
      <c r="L6" s="54">
        <f>[10]STA_SP1_NO!$H$24</f>
        <v>405</v>
      </c>
      <c r="M6" s="372">
        <f>[11]STA_SP1_NO!$H$24</f>
        <v>7</v>
      </c>
      <c r="N6" s="367">
        <f t="shared" si="0"/>
        <v>2799</v>
      </c>
    </row>
    <row r="7" spans="1:14" x14ac:dyDescent="0.25">
      <c r="A7" s="32">
        <v>4</v>
      </c>
      <c r="B7" s="350" t="s">
        <v>15</v>
      </c>
      <c r="C7" s="368">
        <f>[1]STA_SP1_NO!$H$27</f>
        <v>0</v>
      </c>
      <c r="D7" s="54">
        <f>[2]STA_SP1_NO!$H$27</f>
        <v>0</v>
      </c>
      <c r="E7" s="368">
        <f>[3]STA_SP1_NO!$H$27</f>
        <v>0</v>
      </c>
      <c r="F7" s="54">
        <f>[4]STA_SP1_NO!$H$27</f>
        <v>0</v>
      </c>
      <c r="G7" s="62">
        <f>[5]STA_SP1_NO!$H$27</f>
        <v>0</v>
      </c>
      <c r="H7" s="369">
        <f>[6]STA_SP1_NO!$H$27</f>
        <v>0</v>
      </c>
      <c r="I7" s="62">
        <f>[7]STA_SP1_NO!$H$27</f>
        <v>0</v>
      </c>
      <c r="J7" s="54">
        <f>[8]STA_SP1_NO!$H$27</f>
        <v>0</v>
      </c>
      <c r="K7" s="62">
        <f>[9]STA_SP1_NO!$H$27</f>
        <v>0</v>
      </c>
      <c r="L7" s="54">
        <f>[10]STA_SP1_NO!$H$27</f>
        <v>0</v>
      </c>
      <c r="M7" s="372">
        <f>[11]STA_SP1_NO!$H$27</f>
        <v>0</v>
      </c>
      <c r="N7" s="367">
        <f t="shared" si="0"/>
        <v>0</v>
      </c>
    </row>
    <row r="8" spans="1:14" x14ac:dyDescent="0.25">
      <c r="A8" s="32">
        <v>5</v>
      </c>
      <c r="B8" s="350" t="s">
        <v>16</v>
      </c>
      <c r="C8" s="368">
        <f>[1]STA_SP1_NO!$H$30</f>
        <v>0</v>
      </c>
      <c r="D8" s="54">
        <f>[2]STA_SP1_NO!$H$30</f>
        <v>1</v>
      </c>
      <c r="E8" s="368">
        <f>[3]STA_SP1_NO!$H$30</f>
        <v>0</v>
      </c>
      <c r="F8" s="54">
        <f>[4]STA_SP1_NO!$H$30</f>
        <v>0</v>
      </c>
      <c r="G8" s="62">
        <f>[5]STA_SP1_NO!$H$30</f>
        <v>0</v>
      </c>
      <c r="H8" s="369">
        <f>[6]STA_SP1_NO!$H$30</f>
        <v>0</v>
      </c>
      <c r="I8" s="62">
        <f>[7]STA_SP1_NO!$H$30</f>
        <v>0</v>
      </c>
      <c r="J8" s="54">
        <f>[8]STA_SP1_NO!$H$30</f>
        <v>0</v>
      </c>
      <c r="K8" s="62">
        <f>[9]STA_SP1_NO!$H$30</f>
        <v>0</v>
      </c>
      <c r="L8" s="54">
        <f>[10]STA_SP1_NO!$H$30</f>
        <v>0</v>
      </c>
      <c r="M8" s="372">
        <f>[11]STA_SP1_NO!$H$30</f>
        <v>0</v>
      </c>
      <c r="N8" s="367">
        <f t="shared" si="0"/>
        <v>1</v>
      </c>
    </row>
    <row r="9" spans="1:14" x14ac:dyDescent="0.25">
      <c r="A9" s="32">
        <v>6</v>
      </c>
      <c r="B9" s="350" t="s">
        <v>17</v>
      </c>
      <c r="C9" s="368">
        <f>[1]STA_SP1_NO!$H$33</f>
        <v>0</v>
      </c>
      <c r="D9" s="54">
        <f>[2]STA_SP1_NO!$H$33</f>
        <v>0</v>
      </c>
      <c r="E9" s="368">
        <f>[3]STA_SP1_NO!$H$33</f>
        <v>0</v>
      </c>
      <c r="F9" s="54">
        <f>[4]STA_SP1_NO!$H$33</f>
        <v>1</v>
      </c>
      <c r="G9" s="62">
        <f>[5]STA_SP1_NO!$H$33</f>
        <v>0</v>
      </c>
      <c r="H9" s="369">
        <f>[6]STA_SP1_NO!$H$33</f>
        <v>0</v>
      </c>
      <c r="I9" s="62">
        <f>[7]STA_SP1_NO!$H$33</f>
        <v>0</v>
      </c>
      <c r="J9" s="54">
        <f>[8]STA_SP1_NO!$H$33</f>
        <v>0</v>
      </c>
      <c r="K9" s="62">
        <f>[9]STA_SP1_NO!$H$33</f>
        <v>0</v>
      </c>
      <c r="L9" s="54">
        <f>[10]STA_SP1_NO!$H$33</f>
        <v>0</v>
      </c>
      <c r="M9" s="372">
        <f>[11]STA_SP1_NO!$H$33</f>
        <v>0</v>
      </c>
      <c r="N9" s="367">
        <f t="shared" si="0"/>
        <v>1</v>
      </c>
    </row>
    <row r="10" spans="1:14" x14ac:dyDescent="0.25">
      <c r="A10" s="32">
        <v>7</v>
      </c>
      <c r="B10" s="350" t="s">
        <v>18</v>
      </c>
      <c r="C10" s="368">
        <f>[1]STA_SP1_NO!$H$36</f>
        <v>4</v>
      </c>
      <c r="D10" s="54">
        <f>[2]STA_SP1_NO!$H$36</f>
        <v>1</v>
      </c>
      <c r="E10" s="368">
        <f>[3]STA_SP1_NO!$H$36</f>
        <v>0</v>
      </c>
      <c r="F10" s="54">
        <f>[4]STA_SP1_NO!$H$36</f>
        <v>0</v>
      </c>
      <c r="G10" s="62">
        <f>[5]STA_SP1_NO!$H$36</f>
        <v>1</v>
      </c>
      <c r="H10" s="369">
        <f>[6]STA_SP1_NO!$H$36</f>
        <v>0</v>
      </c>
      <c r="I10" s="62">
        <f>[7]STA_SP1_NO!$H$36</f>
        <v>1</v>
      </c>
      <c r="J10" s="54">
        <f>[8]STA_SP1_NO!$H$36</f>
        <v>0</v>
      </c>
      <c r="K10" s="62">
        <f>[9]STA_SP1_NO!$H$36</f>
        <v>0</v>
      </c>
      <c r="L10" s="54">
        <f>[10]STA_SP1_NO!$H$36</f>
        <v>2</v>
      </c>
      <c r="M10" s="372">
        <f>[11]STA_SP1_NO!$H$36</f>
        <v>0</v>
      </c>
      <c r="N10" s="367">
        <f t="shared" si="0"/>
        <v>9</v>
      </c>
    </row>
    <row r="11" spans="1:14" x14ac:dyDescent="0.25">
      <c r="A11" s="32">
        <v>8</v>
      </c>
      <c r="B11" s="350" t="s">
        <v>19</v>
      </c>
      <c r="C11" s="368">
        <f>[1]STA_SP1_NO!$H$40</f>
        <v>49</v>
      </c>
      <c r="D11" s="54">
        <f>[2]STA_SP1_NO!$H$40</f>
        <v>50</v>
      </c>
      <c r="E11" s="368">
        <f>[3]STA_SP1_NO!$H$40</f>
        <v>13</v>
      </c>
      <c r="F11" s="54">
        <f>[4]STA_SP1_NO!$H$40</f>
        <v>53</v>
      </c>
      <c r="G11" s="62">
        <f>[5]STA_SP1_NO!$H$40</f>
        <v>85</v>
      </c>
      <c r="H11" s="369">
        <f>[6]STA_SP1_NO!$H$40</f>
        <v>19</v>
      </c>
      <c r="I11" s="62">
        <f>[7]STA_SP1_NO!$H$40</f>
        <v>9</v>
      </c>
      <c r="J11" s="54">
        <f>[8]STA_SP1_NO!$H$40</f>
        <v>37</v>
      </c>
      <c r="K11" s="62">
        <f>[9]STA_SP1_NO!$H$40</f>
        <v>17</v>
      </c>
      <c r="L11" s="54">
        <f>[10]STA_SP1_NO!$H$40</f>
        <v>28</v>
      </c>
      <c r="M11" s="372">
        <f>[11]STA_SP1_NO!$H$40</f>
        <v>0</v>
      </c>
      <c r="N11" s="367">
        <f t="shared" si="0"/>
        <v>360</v>
      </c>
    </row>
    <row r="12" spans="1:14" x14ac:dyDescent="0.25">
      <c r="A12" s="32">
        <v>9</v>
      </c>
      <c r="B12" s="350" t="s">
        <v>20</v>
      </c>
      <c r="C12" s="368">
        <f>[1]STA_SP1_NO!$H$56</f>
        <v>257</v>
      </c>
      <c r="D12" s="54">
        <f>[2]STA_SP1_NO!$H$56</f>
        <v>200</v>
      </c>
      <c r="E12" s="368">
        <f>[3]STA_SP1_NO!$H$56</f>
        <v>98</v>
      </c>
      <c r="F12" s="54">
        <f>[4]STA_SP1_NO!$H$56</f>
        <v>348</v>
      </c>
      <c r="G12" s="62">
        <f>[5]STA_SP1_NO!$H$56</f>
        <v>38</v>
      </c>
      <c r="H12" s="369">
        <f>[6]STA_SP1_NO!$H$56</f>
        <v>14</v>
      </c>
      <c r="I12" s="62">
        <f>[7]STA_SP1_NO!$H$56</f>
        <v>34</v>
      </c>
      <c r="J12" s="54">
        <f>[8]STA_SP1_NO!$H$56</f>
        <v>45</v>
      </c>
      <c r="K12" s="62">
        <f>[9]STA_SP1_NO!$H$56</f>
        <v>29</v>
      </c>
      <c r="L12" s="54">
        <f>[10]STA_SP1_NO!$H$56</f>
        <v>94</v>
      </c>
      <c r="M12" s="372">
        <f>[11]STA_SP1_NO!$H$56</f>
        <v>0</v>
      </c>
      <c r="N12" s="367">
        <f t="shared" si="0"/>
        <v>1157</v>
      </c>
    </row>
    <row r="13" spans="1:14" x14ac:dyDescent="0.25">
      <c r="A13" s="32">
        <v>10</v>
      </c>
      <c r="B13" s="350" t="s">
        <v>21</v>
      </c>
      <c r="C13" s="368">
        <f>[1]STA_SP1_NO!$H$88</f>
        <v>1956</v>
      </c>
      <c r="D13" s="54">
        <f>[2]STA_SP1_NO!$H$88</f>
        <v>1110</v>
      </c>
      <c r="E13" s="368">
        <f>[3]STA_SP1_NO!$H$88</f>
        <v>865</v>
      </c>
      <c r="F13" s="54">
        <f>[4]STA_SP1_NO!$H$88</f>
        <v>980</v>
      </c>
      <c r="G13" s="62">
        <f>[5]STA_SP1_NO!$H$88</f>
        <v>1653</v>
      </c>
      <c r="H13" s="369">
        <f>[6]STA_SP1_NO!$H$88</f>
        <v>3493</v>
      </c>
      <c r="I13" s="62">
        <f>[7]STA_SP1_NO!$H$88</f>
        <v>1195</v>
      </c>
      <c r="J13" s="54">
        <f>[8]STA_SP1_NO!$H$88</f>
        <v>1025</v>
      </c>
      <c r="K13" s="62">
        <f>[9]STA_SP1_NO!$H$88</f>
        <v>701</v>
      </c>
      <c r="L13" s="54">
        <f>[10]STA_SP1_NO!$H$88</f>
        <v>1381</v>
      </c>
      <c r="M13" s="372">
        <f>[11]STA_SP1_NO!$H$88</f>
        <v>90</v>
      </c>
      <c r="N13" s="367">
        <f t="shared" si="0"/>
        <v>14449</v>
      </c>
    </row>
    <row r="14" spans="1:14" x14ac:dyDescent="0.25">
      <c r="A14" s="32">
        <v>11</v>
      </c>
      <c r="B14" s="350" t="s">
        <v>22</v>
      </c>
      <c r="C14" s="368">
        <f>[1]STA_SP1_NO!$H$124</f>
        <v>0</v>
      </c>
      <c r="D14" s="54">
        <f>[2]STA_SP1_NO!$H$124</f>
        <v>0</v>
      </c>
      <c r="E14" s="368">
        <f>[3]STA_SP1_NO!$H$124</f>
        <v>0</v>
      </c>
      <c r="F14" s="54">
        <f>[4]STA_SP1_NO!$H$124</f>
        <v>0</v>
      </c>
      <c r="G14" s="62">
        <f>[5]STA_SP1_NO!$H$124</f>
        <v>0</v>
      </c>
      <c r="H14" s="369">
        <f>[6]STA_SP1_NO!$H$124</f>
        <v>0</v>
      </c>
      <c r="I14" s="62">
        <f>[7]STA_SP1_NO!$H$124</f>
        <v>0</v>
      </c>
      <c r="J14" s="54">
        <f>[8]STA_SP1_NO!$H$124</f>
        <v>0</v>
      </c>
      <c r="K14" s="62">
        <f>[9]STA_SP1_NO!$H$124</f>
        <v>0</v>
      </c>
      <c r="L14" s="54">
        <f>[10]STA_SP1_NO!$H$124</f>
        <v>0</v>
      </c>
      <c r="M14" s="372">
        <f>[11]STA_SP1_NO!$H$124</f>
        <v>0</v>
      </c>
      <c r="N14" s="367">
        <f t="shared" si="0"/>
        <v>0</v>
      </c>
    </row>
    <row r="15" spans="1:14" x14ac:dyDescent="0.25">
      <c r="A15" s="32">
        <v>12</v>
      </c>
      <c r="B15" s="350" t="s">
        <v>23</v>
      </c>
      <c r="C15" s="368">
        <f>[1]STA_SP1_NO!$H$128</f>
        <v>0</v>
      </c>
      <c r="D15" s="54">
        <f>[2]STA_SP1_NO!$H$128</f>
        <v>6</v>
      </c>
      <c r="E15" s="368">
        <f>[3]STA_SP1_NO!$H$128</f>
        <v>0</v>
      </c>
      <c r="F15" s="54">
        <f>[4]STA_SP1_NO!$H$128</f>
        <v>2</v>
      </c>
      <c r="G15" s="62">
        <f>[5]STA_SP1_NO!$H$128</f>
        <v>0</v>
      </c>
      <c r="H15" s="369">
        <f>[6]STA_SP1_NO!$H$128</f>
        <v>0</v>
      </c>
      <c r="I15" s="62">
        <f>[7]STA_SP1_NO!$H$128</f>
        <v>0</v>
      </c>
      <c r="J15" s="54">
        <f>[8]STA_SP1_NO!$H$128</f>
        <v>0</v>
      </c>
      <c r="K15" s="62">
        <f>[9]STA_SP1_NO!$H$128</f>
        <v>0</v>
      </c>
      <c r="L15" s="54">
        <f>[10]STA_SP1_NO!$H$128</f>
        <v>0</v>
      </c>
      <c r="M15" s="372">
        <f>[11]STA_SP1_NO!$H$128</f>
        <v>0</v>
      </c>
      <c r="N15" s="367">
        <f t="shared" si="0"/>
        <v>8</v>
      </c>
    </row>
    <row r="16" spans="1:14" x14ac:dyDescent="0.25">
      <c r="A16" s="32">
        <v>13</v>
      </c>
      <c r="B16" s="350" t="s">
        <v>24</v>
      </c>
      <c r="C16" s="368">
        <f>[1]STA_SP1_NO!$H$132</f>
        <v>104</v>
      </c>
      <c r="D16" s="54">
        <f>[2]STA_SP1_NO!$H$132</f>
        <v>12</v>
      </c>
      <c r="E16" s="368">
        <f>[3]STA_SP1_NO!$H$132</f>
        <v>27</v>
      </c>
      <c r="F16" s="54">
        <f>[4]STA_SP1_NO!$H$132</f>
        <v>28</v>
      </c>
      <c r="G16" s="62">
        <f>[5]STA_SP1_NO!$H$132</f>
        <v>34</v>
      </c>
      <c r="H16" s="369">
        <f>[6]STA_SP1_NO!$H$132</f>
        <v>6</v>
      </c>
      <c r="I16" s="62">
        <f>[7]STA_SP1_NO!$H$132</f>
        <v>26</v>
      </c>
      <c r="J16" s="54">
        <f>[8]STA_SP1_NO!$H$132</f>
        <v>34</v>
      </c>
      <c r="K16" s="62">
        <f>[9]STA_SP1_NO!$H$132</f>
        <v>8</v>
      </c>
      <c r="L16" s="54">
        <f>[10]STA_SP1_NO!$H$132</f>
        <v>8</v>
      </c>
      <c r="M16" s="372">
        <f>[11]STA_SP1_NO!$H$132</f>
        <v>0</v>
      </c>
      <c r="N16" s="367">
        <f t="shared" si="0"/>
        <v>287</v>
      </c>
    </row>
    <row r="17" spans="1:14" x14ac:dyDescent="0.25">
      <c r="A17" s="32">
        <v>14</v>
      </c>
      <c r="B17" s="350" t="s">
        <v>25</v>
      </c>
      <c r="C17" s="368">
        <f>[1]STA_SP1_NO!$H$153</f>
        <v>1</v>
      </c>
      <c r="D17" s="54">
        <f>[2]STA_SP1_NO!$H$153</f>
        <v>15</v>
      </c>
      <c r="E17" s="368">
        <f>[3]STA_SP1_NO!$H$153</f>
        <v>0</v>
      </c>
      <c r="F17" s="54">
        <f>[4]STA_SP1_NO!$H$153</f>
        <v>0</v>
      </c>
      <c r="G17" s="62">
        <f>[5]STA_SP1_NO!$H$153</f>
        <v>0</v>
      </c>
      <c r="H17" s="369">
        <f>[6]STA_SP1_NO!$H$153</f>
        <v>0</v>
      </c>
      <c r="I17" s="62">
        <f>[7]STA_SP1_NO!$H$153</f>
        <v>0</v>
      </c>
      <c r="J17" s="54">
        <f>[8]STA_SP1_NO!$H$153</f>
        <v>0</v>
      </c>
      <c r="K17" s="62">
        <f>[9]STA_SP1_NO!$H$153</f>
        <v>1</v>
      </c>
      <c r="L17" s="54">
        <f>[10]STA_SP1_NO!$H$153</f>
        <v>0</v>
      </c>
      <c r="M17" s="372">
        <f>[11]STA_SP1_NO!$H$153</f>
        <v>0</v>
      </c>
      <c r="N17" s="367">
        <f t="shared" si="0"/>
        <v>17</v>
      </c>
    </row>
    <row r="18" spans="1:14" x14ac:dyDescent="0.25">
      <c r="A18" s="32">
        <v>15</v>
      </c>
      <c r="B18" s="350" t="s">
        <v>26</v>
      </c>
      <c r="C18" s="368">
        <f>[1]STA_SP1_NO!$H$158</f>
        <v>0</v>
      </c>
      <c r="D18" s="54">
        <f>[2]STA_SP1_NO!$H$158</f>
        <v>0</v>
      </c>
      <c r="E18" s="368">
        <f>[3]STA_SP1_NO!$H$158</f>
        <v>0</v>
      </c>
      <c r="F18" s="54">
        <f>[4]STA_SP1_NO!$H$158</f>
        <v>0</v>
      </c>
      <c r="G18" s="62">
        <f>[5]STA_SP1_NO!$H$158</f>
        <v>0</v>
      </c>
      <c r="H18" s="369">
        <f>[6]STA_SP1_NO!$H$158</f>
        <v>0</v>
      </c>
      <c r="I18" s="62">
        <f>[7]STA_SP1_NO!$H$158</f>
        <v>0</v>
      </c>
      <c r="J18" s="54">
        <f>[8]STA_SP1_NO!$H$158</f>
        <v>0</v>
      </c>
      <c r="K18" s="62">
        <f>[9]STA_SP1_NO!$H$158</f>
        <v>0</v>
      </c>
      <c r="L18" s="54">
        <f>[10]STA_SP1_NO!$H$158</f>
        <v>0</v>
      </c>
      <c r="M18" s="372">
        <f>[11]STA_SP1_NO!$H$158</f>
        <v>0</v>
      </c>
      <c r="N18" s="367">
        <f t="shared" si="0"/>
        <v>0</v>
      </c>
    </row>
    <row r="19" spans="1:14" x14ac:dyDescent="0.25">
      <c r="A19" s="32">
        <v>16</v>
      </c>
      <c r="B19" s="350" t="s">
        <v>27</v>
      </c>
      <c r="C19" s="368">
        <f>[1]STA_SP1_NO!$H$161</f>
        <v>0</v>
      </c>
      <c r="D19" s="54">
        <f>[2]STA_SP1_NO!$H$161</f>
        <v>0</v>
      </c>
      <c r="E19" s="368">
        <f>[3]STA_SP1_NO!$H$161</f>
        <v>0</v>
      </c>
      <c r="F19" s="54">
        <f>[4]STA_SP1_NO!$H$161</f>
        <v>8</v>
      </c>
      <c r="G19" s="62">
        <f>[5]STA_SP1_NO!$H$161</f>
        <v>0</v>
      </c>
      <c r="H19" s="369">
        <f>[6]STA_SP1_NO!$H$161</f>
        <v>0</v>
      </c>
      <c r="I19" s="62">
        <f>[7]STA_SP1_NO!$H$161</f>
        <v>3</v>
      </c>
      <c r="J19" s="54">
        <f>[8]STA_SP1_NO!$H$161</f>
        <v>0</v>
      </c>
      <c r="K19" s="62">
        <f>[9]STA_SP1_NO!$H$161</f>
        <v>0</v>
      </c>
      <c r="L19" s="54">
        <f>[10]STA_SP1_NO!$H$161</f>
        <v>1</v>
      </c>
      <c r="M19" s="372">
        <f>[11]STA_SP1_NO!$H$161</f>
        <v>0</v>
      </c>
      <c r="N19" s="367">
        <f t="shared" si="0"/>
        <v>12</v>
      </c>
    </row>
    <row r="20" spans="1:14" x14ac:dyDescent="0.25">
      <c r="A20" s="32">
        <v>17</v>
      </c>
      <c r="B20" s="350" t="s">
        <v>28</v>
      </c>
      <c r="C20" s="368">
        <f>[1]STA_SP1_NO!$H$167</f>
        <v>0</v>
      </c>
      <c r="D20" s="54">
        <f>[2]STA_SP1_NO!$H$167</f>
        <v>0</v>
      </c>
      <c r="E20" s="368">
        <f>[3]STA_SP1_NO!$H$167</f>
        <v>0</v>
      </c>
      <c r="F20" s="54">
        <f>[4]STA_SP1_NO!$H$167</f>
        <v>0</v>
      </c>
      <c r="G20" s="62">
        <f>[5]STA_SP1_NO!$H$167</f>
        <v>0</v>
      </c>
      <c r="H20" s="369">
        <f>[6]STA_SP1_NO!$H$167</f>
        <v>0</v>
      </c>
      <c r="I20" s="62">
        <f>[7]STA_SP1_NO!$H$167</f>
        <v>0</v>
      </c>
      <c r="J20" s="54">
        <f>[8]STA_SP1_NO!$H$167</f>
        <v>0</v>
      </c>
      <c r="K20" s="62">
        <f>[9]STA_SP1_NO!$H$167</f>
        <v>0</v>
      </c>
      <c r="L20" s="54">
        <f>[10]STA_SP1_NO!$H$167</f>
        <v>0</v>
      </c>
      <c r="M20" s="372">
        <f>[11]STA_SP1_NO!$H$167</f>
        <v>0</v>
      </c>
      <c r="N20" s="367">
        <f t="shared" si="0"/>
        <v>0</v>
      </c>
    </row>
    <row r="21" spans="1:14" ht="15.75" thickBot="1" x14ac:dyDescent="0.3">
      <c r="A21" s="34">
        <v>18</v>
      </c>
      <c r="B21" s="351" t="s">
        <v>29</v>
      </c>
      <c r="C21" s="368">
        <f>[1]STA_SP1_NO!$H$170</f>
        <v>177</v>
      </c>
      <c r="D21" s="54">
        <f>[2]STA_SP1_NO!$H$170</f>
        <v>769</v>
      </c>
      <c r="E21" s="368">
        <f>[3]STA_SP1_NO!$H$170</f>
        <v>125</v>
      </c>
      <c r="F21" s="54">
        <f>[4]STA_SP1_NO!$H$170</f>
        <v>348</v>
      </c>
      <c r="G21" s="62">
        <f>[5]STA_SP1_NO!$H$170</f>
        <v>437</v>
      </c>
      <c r="H21" s="369">
        <f>[6]STA_SP1_NO!$H$170</f>
        <v>119</v>
      </c>
      <c r="I21" s="62">
        <f>[7]STA_SP1_NO!$H$170</f>
        <v>67</v>
      </c>
      <c r="J21" s="54">
        <f>[8]STA_SP1_NO!$H$170</f>
        <v>168</v>
      </c>
      <c r="K21" s="62">
        <f>[9]STA_SP1_NO!$H$170</f>
        <v>92</v>
      </c>
      <c r="L21" s="54">
        <f>[10]STA_SP1_NO!$H$170</f>
        <v>259</v>
      </c>
      <c r="M21" s="372">
        <f>[11]STA_SP1_NO!$H$170</f>
        <v>0</v>
      </c>
      <c r="N21" s="367">
        <f t="shared" si="0"/>
        <v>2561</v>
      </c>
    </row>
    <row r="22" spans="1:14" ht="15.75" thickBot="1" x14ac:dyDescent="0.3">
      <c r="A22" s="36"/>
      <c r="B22" s="364" t="s">
        <v>37</v>
      </c>
      <c r="C22" s="357">
        <f t="shared" ref="C22:F22" si="1">SUM(C4:C21)</f>
        <v>3240</v>
      </c>
      <c r="D22" s="360">
        <f t="shared" si="1"/>
        <v>3710</v>
      </c>
      <c r="E22" s="359">
        <f>SUM(E4:E21)</f>
        <v>1461</v>
      </c>
      <c r="F22" s="360">
        <f t="shared" si="1"/>
        <v>2829</v>
      </c>
      <c r="G22" s="348">
        <f t="shared" ref="G22:M22" si="2">SUM(G4:G21)</f>
        <v>3817</v>
      </c>
      <c r="H22" s="360">
        <f t="shared" si="2"/>
        <v>3953</v>
      </c>
      <c r="I22" s="348">
        <f t="shared" si="2"/>
        <v>1534</v>
      </c>
      <c r="J22" s="361">
        <f t="shared" si="2"/>
        <v>1574</v>
      </c>
      <c r="K22" s="348">
        <f t="shared" si="2"/>
        <v>1264</v>
      </c>
      <c r="L22" s="360">
        <f t="shared" si="2"/>
        <v>3252</v>
      </c>
      <c r="M22" s="362">
        <f t="shared" si="2"/>
        <v>101</v>
      </c>
      <c r="N22" s="363">
        <f t="shared" si="0"/>
        <v>26735</v>
      </c>
    </row>
    <row r="23" spans="1:14" ht="15.75" thickBot="1" x14ac:dyDescent="0.3">
      <c r="A23" s="1"/>
      <c r="B23" s="1"/>
      <c r="C23" s="1"/>
      <c r="D23" s="1"/>
      <c r="E23" s="1"/>
      <c r="F23" s="1"/>
      <c r="G23" s="339"/>
      <c r="H23" s="1"/>
      <c r="I23" s="339"/>
      <c r="J23" s="1"/>
      <c r="K23" s="339"/>
      <c r="L23" s="1"/>
      <c r="M23" s="339"/>
      <c r="N23" s="1"/>
    </row>
    <row r="24" spans="1:14" ht="15.75" thickBot="1" x14ac:dyDescent="0.3">
      <c r="A24" s="446" t="s">
        <v>31</v>
      </c>
      <c r="B24" s="447"/>
      <c r="C24" s="48">
        <f>C22/N22</f>
        <v>0.12118945202917523</v>
      </c>
      <c r="D24" s="47">
        <f>D22/N22</f>
        <v>0.13876940340377783</v>
      </c>
      <c r="E24" s="48">
        <f>E22/N22</f>
        <v>5.4647465868711428E-2</v>
      </c>
      <c r="F24" s="47">
        <f>F22/N22</f>
        <v>0.10581634561436319</v>
      </c>
      <c r="G24" s="48">
        <f>G22/N22</f>
        <v>0.14277164765288947</v>
      </c>
      <c r="H24" s="47">
        <f>H22/N22</f>
        <v>0.14785861230596598</v>
      </c>
      <c r="I24" s="48">
        <f>I22/N22</f>
        <v>5.7377968954553958E-2</v>
      </c>
      <c r="J24" s="47">
        <f>J22/N22</f>
        <v>5.8874135028988216E-2</v>
      </c>
      <c r="K24" s="48">
        <f>K22/N22</f>
        <v>4.7278847952122685E-2</v>
      </c>
      <c r="L24" s="47">
        <f>L22/N22</f>
        <v>0.12163830185150552</v>
      </c>
      <c r="M24" s="340">
        <f>M22/N22</f>
        <v>3.7778193379465119E-3</v>
      </c>
      <c r="N24" s="255">
        <f>SUM(C24:M24)</f>
        <v>0.99999999999999989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5" t="s">
        <v>0</v>
      </c>
      <c r="B26" s="427" t="s">
        <v>1</v>
      </c>
      <c r="C26" s="472" t="s">
        <v>90</v>
      </c>
      <c r="D26" s="473"/>
      <c r="E26" s="473"/>
      <c r="F26" s="473"/>
      <c r="G26" s="473"/>
      <c r="H26" s="474"/>
      <c r="I26" s="470" t="s">
        <v>3</v>
      </c>
      <c r="J26" s="1"/>
      <c r="K26" s="1"/>
      <c r="L26" s="1"/>
      <c r="M26" s="1"/>
      <c r="N26" s="1"/>
    </row>
    <row r="27" spans="1:14" ht="23.25" thickBot="1" x14ac:dyDescent="0.3">
      <c r="A27" s="426"/>
      <c r="B27" s="429"/>
      <c r="C27" s="168" t="s">
        <v>11</v>
      </c>
      <c r="D27" s="127" t="s">
        <v>32</v>
      </c>
      <c r="E27" s="168" t="s">
        <v>7</v>
      </c>
      <c r="F27" s="127" t="s">
        <v>9</v>
      </c>
      <c r="G27" s="166" t="s">
        <v>4</v>
      </c>
      <c r="H27" s="251" t="s">
        <v>95</v>
      </c>
      <c r="I27" s="482"/>
      <c r="J27" s="81"/>
      <c r="K27" s="456" t="s">
        <v>33</v>
      </c>
      <c r="L27" s="457"/>
      <c r="M27" s="230">
        <f>N22</f>
        <v>26735</v>
      </c>
      <c r="N27" s="231">
        <f>M27/M29</f>
        <v>0.97726358884380593</v>
      </c>
    </row>
    <row r="28" spans="1:14" ht="15.75" thickBot="1" x14ac:dyDescent="0.3">
      <c r="A28" s="22">
        <v>19</v>
      </c>
      <c r="B28" s="128" t="s">
        <v>34</v>
      </c>
      <c r="C28" s="165">
        <f>[12]STA_SP2_ZO!$G$51+[12]STA_SP2_ZO!$H$51</f>
        <v>292</v>
      </c>
      <c r="D28" s="50">
        <f>[13]STA_SP2_ZO!$G$51+[13]STA_SP2_ZO!$H$51</f>
        <v>251</v>
      </c>
      <c r="E28" s="165">
        <f>[14]STA_SP2_ZO!$G$51+[14]STA_SP2_ZO!$H$51</f>
        <v>30</v>
      </c>
      <c r="F28" s="50">
        <f>[15]STA_SP2_ZO!$G$51+[15]STA_SP2_ZO!$H$51</f>
        <v>35</v>
      </c>
      <c r="G28" s="115">
        <f>[16]STA_SP2_ZO!$G$51+[16]STA_SP2_ZO!$H$51</f>
        <v>13</v>
      </c>
      <c r="H28" s="50">
        <f>[17]STA_SP2_ZO!$G$51+[17]STA_SP2_ZO!$H$51</f>
        <v>1</v>
      </c>
      <c r="I28" s="242">
        <f>SUM(C28:H28)</f>
        <v>622</v>
      </c>
      <c r="J28" s="81"/>
      <c r="K28" s="448" t="s">
        <v>34</v>
      </c>
      <c r="L28" s="449"/>
      <c r="M28" s="232">
        <f>I28</f>
        <v>622</v>
      </c>
      <c r="N28" s="233">
        <f>M28/M29</f>
        <v>2.2736411156194028E-2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0" t="s">
        <v>3</v>
      </c>
      <c r="L29" s="451"/>
      <c r="M29" s="234">
        <f>M27+M28</f>
        <v>27357</v>
      </c>
      <c r="N29" s="235">
        <f>M29/M29</f>
        <v>1</v>
      </c>
    </row>
    <row r="30" spans="1:14" ht="15.75" thickBot="1" x14ac:dyDescent="0.3">
      <c r="A30" s="417" t="s">
        <v>35</v>
      </c>
      <c r="B30" s="418"/>
      <c r="C30" s="23">
        <f>C28/I28</f>
        <v>0.46945337620578781</v>
      </c>
      <c r="D30" s="82">
        <f>D28/I28</f>
        <v>0.40353697749196143</v>
      </c>
      <c r="E30" s="23">
        <f>E28/I28</f>
        <v>4.8231511254019289E-2</v>
      </c>
      <c r="F30" s="82">
        <f>F28/I28</f>
        <v>5.6270096463022508E-2</v>
      </c>
      <c r="G30" s="23">
        <f>G28/I28</f>
        <v>2.0900321543408359E-2</v>
      </c>
      <c r="H30" s="82">
        <f>H28/I28</f>
        <v>1.6077170418006431E-3</v>
      </c>
      <c r="I30" s="229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N2:N3"/>
    <mergeCell ref="A24:B24"/>
    <mergeCell ref="C1:I1"/>
    <mergeCell ref="A2:A3"/>
    <mergeCell ref="B2:B3"/>
    <mergeCell ref="C2:M2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Q7" sqref="Q7"/>
    </sheetView>
  </sheetViews>
  <sheetFormatPr defaultRowHeight="15" x14ac:dyDescent="0.25"/>
  <cols>
    <col min="1" max="1" width="4.7109375" customWidth="1"/>
    <col min="2" max="2" width="27.85546875" customWidth="1"/>
    <col min="8" max="8" width="9.85546875" customWidth="1"/>
    <col min="11" max="11" width="9.140625" customWidth="1"/>
  </cols>
  <sheetData>
    <row r="1" spans="1:14" ht="27.75" customHeight="1" thickBot="1" x14ac:dyDescent="0.3">
      <c r="A1" s="26"/>
      <c r="B1" s="26"/>
      <c r="C1" s="458" t="s">
        <v>102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155" t="s">
        <v>36</v>
      </c>
    </row>
    <row r="2" spans="1:14" ht="15.75" thickBot="1" x14ac:dyDescent="0.3">
      <c r="A2" s="461" t="s">
        <v>0</v>
      </c>
      <c r="B2" s="463" t="s">
        <v>1</v>
      </c>
      <c r="C2" s="483" t="s">
        <v>2</v>
      </c>
      <c r="D2" s="484"/>
      <c r="E2" s="484"/>
      <c r="F2" s="484"/>
      <c r="G2" s="484"/>
      <c r="H2" s="484"/>
      <c r="I2" s="484"/>
      <c r="J2" s="484"/>
      <c r="K2" s="484"/>
      <c r="L2" s="484"/>
      <c r="M2" s="485"/>
      <c r="N2" s="465" t="s">
        <v>3</v>
      </c>
    </row>
    <row r="3" spans="1:14" ht="15.75" thickBot="1" x14ac:dyDescent="0.3">
      <c r="A3" s="462"/>
      <c r="B3" s="479"/>
      <c r="C3" s="352" t="s">
        <v>69</v>
      </c>
      <c r="D3" s="373" t="s">
        <v>4</v>
      </c>
      <c r="E3" s="355" t="s">
        <v>5</v>
      </c>
      <c r="F3" s="305" t="s">
        <v>6</v>
      </c>
      <c r="G3" s="365" t="s">
        <v>8</v>
      </c>
      <c r="H3" s="354" t="s">
        <v>94</v>
      </c>
      <c r="I3" s="355" t="s">
        <v>9</v>
      </c>
      <c r="J3" s="370" t="s">
        <v>38</v>
      </c>
      <c r="K3" s="356" t="s">
        <v>93</v>
      </c>
      <c r="L3" s="305" t="s">
        <v>11</v>
      </c>
      <c r="M3" s="371" t="s">
        <v>96</v>
      </c>
      <c r="N3" s="466"/>
    </row>
    <row r="4" spans="1:14" x14ac:dyDescent="0.25">
      <c r="A4" s="30">
        <v>1</v>
      </c>
      <c r="B4" s="349" t="s">
        <v>12</v>
      </c>
      <c r="C4" s="62">
        <f>[1]STA_SP1_NO!$I$10</f>
        <v>11181.3</v>
      </c>
      <c r="D4" s="366">
        <f>[2]STA_SP1_NO!$I$10</f>
        <v>19097.13</v>
      </c>
      <c r="E4" s="62">
        <f>[3]STA_SP1_NO!$I$10</f>
        <v>2593</v>
      </c>
      <c r="F4" s="54">
        <f>[4]STA_SP1_NO!$I$10</f>
        <v>3675.85</v>
      </c>
      <c r="G4" s="257">
        <f>[5]STA_SP1_NO!$I$10</f>
        <v>7293</v>
      </c>
      <c r="H4" s="369">
        <f>[6]STA_SP1_NO!$I$10</f>
        <v>2773.27</v>
      </c>
      <c r="I4" s="62">
        <f>[7]STA_SP1_NO!$I$10</f>
        <v>1366</v>
      </c>
      <c r="J4" s="54">
        <f>[8]STA_SP1_NO!$I$10</f>
        <v>1303</v>
      </c>
      <c r="K4" s="62">
        <f>[9]STA_SP1_NO!$I$10</f>
        <v>7075.32</v>
      </c>
      <c r="L4" s="54">
        <f>[10]STA_SP1_NO!$I$10</f>
        <v>7737</v>
      </c>
      <c r="M4" s="372">
        <f>[11]STA_SP1_NO!$I$10</f>
        <v>164</v>
      </c>
      <c r="N4" s="247">
        <f t="shared" ref="N4:N21" si="0">SUM(C4:M4)</f>
        <v>64258.869999999995</v>
      </c>
    </row>
    <row r="5" spans="1:14" x14ac:dyDescent="0.25">
      <c r="A5" s="32">
        <v>2</v>
      </c>
      <c r="B5" s="350" t="s">
        <v>13</v>
      </c>
      <c r="C5" s="62">
        <f>[1]STA_SP1_NO!$I$20</f>
        <v>2066.13</v>
      </c>
      <c r="D5" s="366">
        <f>[2]STA_SP1_NO!$I$20</f>
        <v>16544.669999999998</v>
      </c>
      <c r="E5" s="62">
        <f>[3]STA_SP1_NO!$I$20</f>
        <v>2362</v>
      </c>
      <c r="F5" s="54">
        <f>[4]STA_SP1_NO!$I$20</f>
        <v>7328.8</v>
      </c>
      <c r="G5" s="257">
        <f>[5]STA_SP1_NO!$I$20</f>
        <v>20687</v>
      </c>
      <c r="H5" s="369">
        <f>[6]STA_SP1_NO!$I$20</f>
        <v>0</v>
      </c>
      <c r="I5" s="62">
        <f>[7]STA_SP1_NO!$I$20</f>
        <v>210</v>
      </c>
      <c r="J5" s="54">
        <f>[8]STA_SP1_NO!$I$20</f>
        <v>0</v>
      </c>
      <c r="K5" s="62">
        <f>[9]STA_SP1_NO!$I$20</f>
        <v>2947.22</v>
      </c>
      <c r="L5" s="54">
        <f>[10]STA_SP1_NO!$I$20</f>
        <v>11305</v>
      </c>
      <c r="M5" s="372">
        <f>[11]STA_SP1_NO!$I$20</f>
        <v>0</v>
      </c>
      <c r="N5" s="247">
        <f t="shared" si="0"/>
        <v>63450.82</v>
      </c>
    </row>
    <row r="6" spans="1:14" x14ac:dyDescent="0.25">
      <c r="A6" s="32">
        <v>3</v>
      </c>
      <c r="B6" s="350" t="s">
        <v>14</v>
      </c>
      <c r="C6" s="62">
        <f>[1]STA_SP1_NO!$I$24</f>
        <v>40337.01</v>
      </c>
      <c r="D6" s="366">
        <f>[2]STA_SP1_NO!$I$24</f>
        <v>41287.25</v>
      </c>
      <c r="E6" s="62">
        <f>[3]STA_SP1_NO!$I$24</f>
        <v>18329</v>
      </c>
      <c r="F6" s="54">
        <f>[4]STA_SP1_NO!$I$24</f>
        <v>52073.49</v>
      </c>
      <c r="G6" s="257">
        <f>[5]STA_SP1_NO!$I$24</f>
        <v>32747</v>
      </c>
      <c r="H6" s="369">
        <f>[6]STA_SP1_NO!$I$24</f>
        <v>9014.7900000000009</v>
      </c>
      <c r="I6" s="62">
        <f>[7]STA_SP1_NO!$I$24</f>
        <v>8388</v>
      </c>
      <c r="J6" s="54">
        <f>[8]STA_SP1_NO!$I$24</f>
        <v>22284</v>
      </c>
      <c r="K6" s="62">
        <f>[9]STA_SP1_NO!$I$24</f>
        <v>29592.68</v>
      </c>
      <c r="L6" s="54">
        <f>[10]STA_SP1_NO!$I$24</f>
        <v>34054</v>
      </c>
      <c r="M6" s="372">
        <f>[11]STA_SP1_NO!$I$24</f>
        <v>470</v>
      </c>
      <c r="N6" s="247">
        <f t="shared" si="0"/>
        <v>288577.21999999997</v>
      </c>
    </row>
    <row r="7" spans="1:14" x14ac:dyDescent="0.25">
      <c r="A7" s="32">
        <v>4</v>
      </c>
      <c r="B7" s="350" t="s">
        <v>15</v>
      </c>
      <c r="C7" s="62">
        <f>[1]STA_SP1_NO!$I$27</f>
        <v>0</v>
      </c>
      <c r="D7" s="366">
        <f>[2]STA_SP1_NO!$I$27</f>
        <v>0</v>
      </c>
      <c r="E7" s="62">
        <f>[3]STA_SP1_NO!$I$27</f>
        <v>0</v>
      </c>
      <c r="F7" s="54">
        <f>[4]STA_SP1_NO!$I$27</f>
        <v>0</v>
      </c>
      <c r="G7" s="257">
        <f>[5]STA_SP1_NO!$I$27</f>
        <v>0</v>
      </c>
      <c r="H7" s="369">
        <f>[6]STA_SP1_NO!$I$27</f>
        <v>0</v>
      </c>
      <c r="I7" s="62">
        <f>[7]STA_SP1_NO!$I$27</f>
        <v>0</v>
      </c>
      <c r="J7" s="54">
        <f>[8]STA_SP1_NO!$I$27</f>
        <v>0</v>
      </c>
      <c r="K7" s="62">
        <f>[9]STA_SP1_NO!$I$27</f>
        <v>0</v>
      </c>
      <c r="L7" s="54">
        <f>[10]STA_SP1_NO!$I$27</f>
        <v>0</v>
      </c>
      <c r="M7" s="372">
        <f>[11]STA_SP1_NO!$I$27</f>
        <v>0</v>
      </c>
      <c r="N7" s="247">
        <f t="shared" si="0"/>
        <v>0</v>
      </c>
    </row>
    <row r="8" spans="1:14" x14ac:dyDescent="0.25">
      <c r="A8" s="32">
        <v>5</v>
      </c>
      <c r="B8" s="350" t="s">
        <v>16</v>
      </c>
      <c r="C8" s="62">
        <f>[1]STA_SP1_NO!$I$30</f>
        <v>0</v>
      </c>
      <c r="D8" s="366">
        <f>[2]STA_SP1_NO!$I$30</f>
        <v>480256.06</v>
      </c>
      <c r="E8" s="62">
        <f>[3]STA_SP1_NO!$I$30</f>
        <v>0</v>
      </c>
      <c r="F8" s="54">
        <f>[4]STA_SP1_NO!$I$30</f>
        <v>0</v>
      </c>
      <c r="G8" s="257">
        <f>[5]STA_SP1_NO!$I$30</f>
        <v>0</v>
      </c>
      <c r="H8" s="369">
        <f>[6]STA_SP1_NO!$I$30</f>
        <v>0</v>
      </c>
      <c r="I8" s="62">
        <f>[7]STA_SP1_NO!$I$30</f>
        <v>0</v>
      </c>
      <c r="J8" s="54">
        <f>[8]STA_SP1_NO!$I$30</f>
        <v>0</v>
      </c>
      <c r="K8" s="62">
        <f>[9]STA_SP1_NO!$I$30</f>
        <v>0</v>
      </c>
      <c r="L8" s="54">
        <f>[10]STA_SP1_NO!$I$30</f>
        <v>0</v>
      </c>
      <c r="M8" s="372">
        <f>[11]STA_SP1_NO!$I$30</f>
        <v>0</v>
      </c>
      <c r="N8" s="247">
        <f t="shared" si="0"/>
        <v>480256.06</v>
      </c>
    </row>
    <row r="9" spans="1:14" x14ac:dyDescent="0.25">
      <c r="A9" s="32">
        <v>6</v>
      </c>
      <c r="B9" s="350" t="s">
        <v>17</v>
      </c>
      <c r="C9" s="62">
        <f>[1]STA_SP1_NO!$I$33</f>
        <v>0</v>
      </c>
      <c r="D9" s="366">
        <f>[2]STA_SP1_NO!$I$33</f>
        <v>0</v>
      </c>
      <c r="E9" s="62">
        <f>[3]STA_SP1_NO!$I$33</f>
        <v>0</v>
      </c>
      <c r="F9" s="54">
        <f>[4]STA_SP1_NO!$I$33</f>
        <v>20</v>
      </c>
      <c r="G9" s="257">
        <f>[5]STA_SP1_NO!$I$33</f>
        <v>0</v>
      </c>
      <c r="H9" s="369">
        <f>[6]STA_SP1_NO!$I$33</f>
        <v>0</v>
      </c>
      <c r="I9" s="62">
        <f>[7]STA_SP1_NO!$I$33</f>
        <v>0</v>
      </c>
      <c r="J9" s="54">
        <f>[8]STA_SP1_NO!$I$33</f>
        <v>0</v>
      </c>
      <c r="K9" s="62">
        <f>[9]STA_SP1_NO!$I$33</f>
        <v>0</v>
      </c>
      <c r="L9" s="54">
        <f>[10]STA_SP1_NO!$I$33</f>
        <v>0</v>
      </c>
      <c r="M9" s="372">
        <f>[11]STA_SP1_NO!$I$33</f>
        <v>0</v>
      </c>
      <c r="N9" s="247">
        <f t="shared" si="0"/>
        <v>20</v>
      </c>
    </row>
    <row r="10" spans="1:14" x14ac:dyDescent="0.25">
      <c r="A10" s="32">
        <v>7</v>
      </c>
      <c r="B10" s="350" t="s">
        <v>18</v>
      </c>
      <c r="C10" s="62">
        <f>[1]STA_SP1_NO!$I$36</f>
        <v>740.69</v>
      </c>
      <c r="D10" s="366">
        <f>[2]STA_SP1_NO!$I$36</f>
        <v>100</v>
      </c>
      <c r="E10" s="62">
        <f>[3]STA_SP1_NO!$I$36</f>
        <v>0</v>
      </c>
      <c r="F10" s="54">
        <f>[4]STA_SP1_NO!$I$36</f>
        <v>0</v>
      </c>
      <c r="G10" s="257">
        <f>[5]STA_SP1_NO!$I$36</f>
        <v>12</v>
      </c>
      <c r="H10" s="369">
        <f>[6]STA_SP1_NO!$I$36</f>
        <v>0</v>
      </c>
      <c r="I10" s="62">
        <f>[7]STA_SP1_NO!$I$36</f>
        <v>25</v>
      </c>
      <c r="J10" s="54">
        <f>[8]STA_SP1_NO!$I$36</f>
        <v>0</v>
      </c>
      <c r="K10" s="62">
        <f>[9]STA_SP1_NO!$I$36</f>
        <v>0</v>
      </c>
      <c r="L10" s="54">
        <f>[10]STA_SP1_NO!$I$36</f>
        <v>159</v>
      </c>
      <c r="M10" s="372">
        <f>[11]STA_SP1_NO!$I$36</f>
        <v>0</v>
      </c>
      <c r="N10" s="247">
        <f t="shared" si="0"/>
        <v>1036.69</v>
      </c>
    </row>
    <row r="11" spans="1:14" x14ac:dyDescent="0.25">
      <c r="A11" s="32">
        <v>8</v>
      </c>
      <c r="B11" s="350" t="s">
        <v>19</v>
      </c>
      <c r="C11" s="62">
        <f>[1]STA_SP1_NO!$I$40</f>
        <v>326422.59999999998</v>
      </c>
      <c r="D11" s="366">
        <f>[2]STA_SP1_NO!$I$40</f>
        <v>24671.87</v>
      </c>
      <c r="E11" s="62">
        <f>[3]STA_SP1_NO!$I$40</f>
        <v>905</v>
      </c>
      <c r="F11" s="54">
        <f>[4]STA_SP1_NO!$I$40</f>
        <v>41400.61</v>
      </c>
      <c r="G11" s="257">
        <f>[5]STA_SP1_NO!$I$40</f>
        <v>36792</v>
      </c>
      <c r="H11" s="369">
        <f>[6]STA_SP1_NO!$I$40</f>
        <v>736.06</v>
      </c>
      <c r="I11" s="62">
        <f>[7]STA_SP1_NO!$I$40</f>
        <v>12586</v>
      </c>
      <c r="J11" s="54">
        <f>[8]STA_SP1_NO!$I$40</f>
        <v>17620</v>
      </c>
      <c r="K11" s="62">
        <f>[9]STA_SP1_NO!$I$40</f>
        <v>8460.2099999999991</v>
      </c>
      <c r="L11" s="54">
        <f>[10]STA_SP1_NO!$I$40</f>
        <v>42856</v>
      </c>
      <c r="M11" s="372">
        <f>[11]STA_SP1_NO!$I$40</f>
        <v>0</v>
      </c>
      <c r="N11" s="247">
        <f t="shared" si="0"/>
        <v>512450.35</v>
      </c>
    </row>
    <row r="12" spans="1:14" x14ac:dyDescent="0.25">
      <c r="A12" s="32">
        <v>9</v>
      </c>
      <c r="B12" s="350" t="s">
        <v>20</v>
      </c>
      <c r="C12" s="62">
        <f>[1]STA_SP1_NO!$I$56</f>
        <v>225496.19</v>
      </c>
      <c r="D12" s="366">
        <f>[2]STA_SP1_NO!$I$56</f>
        <v>13638.14</v>
      </c>
      <c r="E12" s="62">
        <f>[3]STA_SP1_NO!$I$56</f>
        <v>12697</v>
      </c>
      <c r="F12" s="54">
        <f>[4]STA_SP1_NO!$I$56</f>
        <v>17058.32</v>
      </c>
      <c r="G12" s="257">
        <f>[5]STA_SP1_NO!$I$56</f>
        <v>9083</v>
      </c>
      <c r="H12" s="369">
        <f>[6]STA_SP1_NO!$I$56</f>
        <v>420.18</v>
      </c>
      <c r="I12" s="62">
        <f>[7]STA_SP1_NO!$I$56</f>
        <v>5227</v>
      </c>
      <c r="J12" s="54">
        <f>[8]STA_SP1_NO!$I$56</f>
        <v>927</v>
      </c>
      <c r="K12" s="62">
        <f>[9]STA_SP1_NO!$I$56</f>
        <v>3534.84</v>
      </c>
      <c r="L12" s="54">
        <f>[10]STA_SP1_NO!$I$56</f>
        <v>46152</v>
      </c>
      <c r="M12" s="372">
        <f>[11]STA_SP1_NO!$I$56</f>
        <v>0</v>
      </c>
      <c r="N12" s="247">
        <f t="shared" si="0"/>
        <v>334233.67000000004</v>
      </c>
    </row>
    <row r="13" spans="1:14" x14ac:dyDescent="0.25">
      <c r="A13" s="32">
        <v>10</v>
      </c>
      <c r="B13" s="350" t="s">
        <v>21</v>
      </c>
      <c r="C13" s="62">
        <f>[1]STA_SP1_NO!$I$88</f>
        <v>338811.18</v>
      </c>
      <c r="D13" s="366">
        <f>[2]STA_SP1_NO!$I$88</f>
        <v>286615.09999999998</v>
      </c>
      <c r="E13" s="62">
        <f>[3]STA_SP1_NO!$I$88</f>
        <v>162599</v>
      </c>
      <c r="F13" s="54">
        <f>[4]STA_SP1_NO!$I$88</f>
        <v>217875.94</v>
      </c>
      <c r="G13" s="257">
        <f>[5]STA_SP1_NO!$I$88</f>
        <v>262681</v>
      </c>
      <c r="H13" s="369">
        <f>[6]STA_SP1_NO!$I$88</f>
        <v>199431.05</v>
      </c>
      <c r="I13" s="62">
        <f>[7]STA_SP1_NO!$I$88</f>
        <v>128888</v>
      </c>
      <c r="J13" s="54">
        <f>[8]STA_SP1_NO!$I$88</f>
        <v>183608</v>
      </c>
      <c r="K13" s="62">
        <f>[9]STA_SP1_NO!$I$88</f>
        <v>198936.8</v>
      </c>
      <c r="L13" s="54">
        <f>[10]STA_SP1_NO!$I$88</f>
        <v>245953</v>
      </c>
      <c r="M13" s="372">
        <f>[11]STA_SP1_NO!$I$88</f>
        <v>6377.19</v>
      </c>
      <c r="N13" s="247">
        <f t="shared" si="0"/>
        <v>2231776.2600000002</v>
      </c>
    </row>
    <row r="14" spans="1:14" x14ac:dyDescent="0.25">
      <c r="A14" s="32">
        <v>11</v>
      </c>
      <c r="B14" s="350" t="s">
        <v>22</v>
      </c>
      <c r="C14" s="62">
        <f>[1]STA_SP1_NO!$I$124</f>
        <v>0</v>
      </c>
      <c r="D14" s="366">
        <f>[2]STA_SP1_NO!$I$124</f>
        <v>0</v>
      </c>
      <c r="E14" s="62">
        <f>[3]STA_SP1_NO!$I$124</f>
        <v>0</v>
      </c>
      <c r="F14" s="54">
        <f>[4]STA_SP1_NO!$I$124</f>
        <v>0</v>
      </c>
      <c r="G14" s="257">
        <f>[5]STA_SP1_NO!$I$124</f>
        <v>0</v>
      </c>
      <c r="H14" s="369">
        <f>[6]STA_SP1_NO!$I$124</f>
        <v>0</v>
      </c>
      <c r="I14" s="62">
        <f>[7]STA_SP1_NO!$I$124</f>
        <v>0</v>
      </c>
      <c r="J14" s="54">
        <f>[8]STA_SP1_NO!$I$124</f>
        <v>0</v>
      </c>
      <c r="K14" s="62">
        <f>[9]STA_SP1_NO!$I$124</f>
        <v>0</v>
      </c>
      <c r="L14" s="54">
        <f>[10]STA_SP1_NO!$I$124</f>
        <v>0</v>
      </c>
      <c r="M14" s="372">
        <f>[11]STA_SP1_NO!$I$124</f>
        <v>0</v>
      </c>
      <c r="N14" s="247">
        <f t="shared" si="0"/>
        <v>0</v>
      </c>
    </row>
    <row r="15" spans="1:14" x14ac:dyDescent="0.25">
      <c r="A15" s="32">
        <v>12</v>
      </c>
      <c r="B15" s="350" t="s">
        <v>23</v>
      </c>
      <c r="C15" s="62">
        <f>[1]STA_SP1_NO!$I$128</f>
        <v>0</v>
      </c>
      <c r="D15" s="366">
        <f>[2]STA_SP1_NO!$I$128</f>
        <v>6255</v>
      </c>
      <c r="E15" s="62">
        <f>[3]STA_SP1_NO!$I$128</f>
        <v>0</v>
      </c>
      <c r="F15" s="54">
        <f>[4]STA_SP1_NO!$I$128</f>
        <v>220</v>
      </c>
      <c r="G15" s="257">
        <f>[5]STA_SP1_NO!$I$128</f>
        <v>0</v>
      </c>
      <c r="H15" s="369">
        <f>[6]STA_SP1_NO!$I$128</f>
        <v>0</v>
      </c>
      <c r="I15" s="62">
        <f>[7]STA_SP1_NO!$I$128</f>
        <v>0</v>
      </c>
      <c r="J15" s="54">
        <f>[8]STA_SP1_NO!$I$128</f>
        <v>0</v>
      </c>
      <c r="K15" s="62">
        <f>[9]STA_SP1_NO!$I$128</f>
        <v>0</v>
      </c>
      <c r="L15" s="54">
        <f>[10]STA_SP1_NO!$I$128</f>
        <v>0</v>
      </c>
      <c r="M15" s="372">
        <f>[11]STA_SP1_NO!$I$128</f>
        <v>0</v>
      </c>
      <c r="N15" s="247">
        <f t="shared" si="0"/>
        <v>6475</v>
      </c>
    </row>
    <row r="16" spans="1:14" x14ac:dyDescent="0.25">
      <c r="A16" s="32">
        <v>13</v>
      </c>
      <c r="B16" s="350" t="s">
        <v>24</v>
      </c>
      <c r="C16" s="62">
        <f>[1]STA_SP1_NO!$I$132</f>
        <v>26928.84</v>
      </c>
      <c r="D16" s="366">
        <f>[2]STA_SP1_NO!$I$132</f>
        <v>6774.3</v>
      </c>
      <c r="E16" s="62">
        <f>[3]STA_SP1_NO!$I$132</f>
        <v>2163</v>
      </c>
      <c r="F16" s="54">
        <f>[4]STA_SP1_NO!$I$132</f>
        <v>3075.48</v>
      </c>
      <c r="G16" s="257">
        <f>[5]STA_SP1_NO!$I$132</f>
        <v>4076</v>
      </c>
      <c r="H16" s="369">
        <f>[6]STA_SP1_NO!$I$132</f>
        <v>204.42</v>
      </c>
      <c r="I16" s="62">
        <f>[7]STA_SP1_NO!$I$132</f>
        <v>18167</v>
      </c>
      <c r="J16" s="54">
        <f>[8]STA_SP1_NO!$I$132</f>
        <v>5204</v>
      </c>
      <c r="K16" s="62">
        <f>[9]STA_SP1_NO!$I$132</f>
        <v>7596.79</v>
      </c>
      <c r="L16" s="54">
        <f>[10]STA_SP1_NO!$I$132</f>
        <v>245</v>
      </c>
      <c r="M16" s="372">
        <f>[11]STA_SP1_NO!$I$132</f>
        <v>0</v>
      </c>
      <c r="N16" s="247">
        <f t="shared" si="0"/>
        <v>74434.83</v>
      </c>
    </row>
    <row r="17" spans="1:14" x14ac:dyDescent="0.25">
      <c r="A17" s="32">
        <v>14</v>
      </c>
      <c r="B17" s="350" t="s">
        <v>25</v>
      </c>
      <c r="C17" s="62">
        <f>[1]STA_SP1_NO!$I$153</f>
        <v>65</v>
      </c>
      <c r="D17" s="366">
        <f>[2]STA_SP1_NO!$I$153</f>
        <v>9309.98</v>
      </c>
      <c r="E17" s="62">
        <f>[3]STA_SP1_NO!$I$153</f>
        <v>0</v>
      </c>
      <c r="F17" s="54">
        <f>[4]STA_SP1_NO!$I$153</f>
        <v>0</v>
      </c>
      <c r="G17" s="257">
        <f>[5]STA_SP1_NO!$I$153</f>
        <v>0</v>
      </c>
      <c r="H17" s="369">
        <f>[6]STA_SP1_NO!$I$153</f>
        <v>0</v>
      </c>
      <c r="I17" s="62">
        <f>[7]STA_SP1_NO!$I$153</f>
        <v>0</v>
      </c>
      <c r="J17" s="54">
        <f>[8]STA_SP1_NO!$I$153</f>
        <v>0</v>
      </c>
      <c r="K17" s="62">
        <f>[9]STA_SP1_NO!$I$153</f>
        <v>50.38</v>
      </c>
      <c r="L17" s="54">
        <f>[10]STA_SP1_NO!$I$153</f>
        <v>0</v>
      </c>
      <c r="M17" s="372">
        <f>[11]STA_SP1_NO!$I$153</f>
        <v>0</v>
      </c>
      <c r="N17" s="247">
        <f t="shared" si="0"/>
        <v>9425.3599999999988</v>
      </c>
    </row>
    <row r="18" spans="1:14" x14ac:dyDescent="0.25">
      <c r="A18" s="32">
        <v>15</v>
      </c>
      <c r="B18" s="350" t="s">
        <v>26</v>
      </c>
      <c r="C18" s="62">
        <f>[1]STA_SP1_NO!$I$158</f>
        <v>0</v>
      </c>
      <c r="D18" s="366">
        <f>[2]STA_SP1_NO!$I$158</f>
        <v>0</v>
      </c>
      <c r="E18" s="62">
        <f>[3]STA_SP1_NO!$I$158</f>
        <v>0</v>
      </c>
      <c r="F18" s="54">
        <f>[4]STA_SP1_NO!$I$158</f>
        <v>0</v>
      </c>
      <c r="G18" s="257">
        <f>[5]STA_SP1_NO!$I$158</f>
        <v>0</v>
      </c>
      <c r="H18" s="369">
        <f>[6]STA_SP1_NO!$I$158</f>
        <v>0</v>
      </c>
      <c r="I18" s="62">
        <f>[7]STA_SP1_NO!$I$158</f>
        <v>0</v>
      </c>
      <c r="J18" s="54">
        <f>[8]STA_SP1_NO!$I$158</f>
        <v>0</v>
      </c>
      <c r="K18" s="62">
        <f>[9]STA_SP1_NO!$I$158</f>
        <v>0</v>
      </c>
      <c r="L18" s="54">
        <f>[10]STA_SP1_NO!$I$158</f>
        <v>0</v>
      </c>
      <c r="M18" s="372">
        <f>[11]STA_SP1_NO!$I$158</f>
        <v>0</v>
      </c>
      <c r="N18" s="247">
        <f t="shared" si="0"/>
        <v>0</v>
      </c>
    </row>
    <row r="19" spans="1:14" x14ac:dyDescent="0.25">
      <c r="A19" s="32">
        <v>16</v>
      </c>
      <c r="B19" s="350" t="s">
        <v>27</v>
      </c>
      <c r="C19" s="62">
        <f>[1]STA_SP1_NO!$I$161</f>
        <v>0</v>
      </c>
      <c r="D19" s="366">
        <f>[2]STA_SP1_NO!$I$161</f>
        <v>0</v>
      </c>
      <c r="E19" s="62">
        <f>[3]STA_SP1_NO!$I$161</f>
        <v>0</v>
      </c>
      <c r="F19" s="54">
        <f>[4]STA_SP1_NO!$I$161</f>
        <v>3043.11</v>
      </c>
      <c r="G19" s="257">
        <f>[5]STA_SP1_NO!$I$161</f>
        <v>0</v>
      </c>
      <c r="H19" s="369">
        <f>[6]STA_SP1_NO!$I$161</f>
        <v>0</v>
      </c>
      <c r="I19" s="62">
        <f>[7]STA_SP1_NO!$I$161</f>
        <v>3700</v>
      </c>
      <c r="J19" s="54">
        <f>[8]STA_SP1_NO!$I$161</f>
        <v>0</v>
      </c>
      <c r="K19" s="62">
        <f>[9]STA_SP1_NO!$I$161</f>
        <v>0</v>
      </c>
      <c r="L19" s="54">
        <f>[10]STA_SP1_NO!$I$161</f>
        <v>800</v>
      </c>
      <c r="M19" s="372">
        <f>[11]STA_SP1_NO!$I$161</f>
        <v>0</v>
      </c>
      <c r="N19" s="247">
        <f t="shared" si="0"/>
        <v>7543.1100000000006</v>
      </c>
    </row>
    <row r="20" spans="1:14" x14ac:dyDescent="0.25">
      <c r="A20" s="32">
        <v>17</v>
      </c>
      <c r="B20" s="350" t="s">
        <v>28</v>
      </c>
      <c r="C20" s="62">
        <f>[1]STA_SP1_NO!$I$167</f>
        <v>0</v>
      </c>
      <c r="D20" s="366">
        <f>[2]STA_SP1_NO!$I$167</f>
        <v>0</v>
      </c>
      <c r="E20" s="62">
        <f>[3]STA_SP1_NO!$I$167</f>
        <v>0</v>
      </c>
      <c r="F20" s="54">
        <f>[4]STA_SP1_NO!$I$167</f>
        <v>0</v>
      </c>
      <c r="G20" s="257">
        <f>[5]STA_SP1_NO!$I$167</f>
        <v>0</v>
      </c>
      <c r="H20" s="369">
        <f>[6]STA_SP1_NO!$I$167</f>
        <v>0</v>
      </c>
      <c r="I20" s="62">
        <f>[7]STA_SP1_NO!$I$167</f>
        <v>0</v>
      </c>
      <c r="J20" s="54">
        <f>[8]STA_SP1_NO!$I$167</f>
        <v>0</v>
      </c>
      <c r="K20" s="62">
        <f>[9]STA_SP1_NO!$I$167</f>
        <v>0</v>
      </c>
      <c r="L20" s="54">
        <f>[10]STA_SP1_NO!$I$167</f>
        <v>0</v>
      </c>
      <c r="M20" s="372">
        <f>[11]STA_SP1_NO!$I$167</f>
        <v>0</v>
      </c>
      <c r="N20" s="247">
        <f t="shared" si="0"/>
        <v>0</v>
      </c>
    </row>
    <row r="21" spans="1:14" ht="15.75" thickBot="1" x14ac:dyDescent="0.3">
      <c r="A21" s="34">
        <v>18</v>
      </c>
      <c r="B21" s="351" t="s">
        <v>29</v>
      </c>
      <c r="C21" s="62">
        <f>[1]STA_SP1_NO!$I$170</f>
        <v>3102.81</v>
      </c>
      <c r="D21" s="366">
        <f>[2]STA_SP1_NO!$I$170</f>
        <v>19593.04</v>
      </c>
      <c r="E21" s="62">
        <f>[3]STA_SP1_NO!$I$170</f>
        <v>3641</v>
      </c>
      <c r="F21" s="54">
        <f>[4]STA_SP1_NO!$I$170</f>
        <v>8329.9699999999993</v>
      </c>
      <c r="G21" s="257">
        <f>[5]STA_SP1_NO!$I$170</f>
        <v>12192</v>
      </c>
      <c r="H21" s="369">
        <f>[6]STA_SP1_NO!$I$170</f>
        <v>1630.96</v>
      </c>
      <c r="I21" s="62">
        <f>[7]STA_SP1_NO!$I$170</f>
        <v>901</v>
      </c>
      <c r="J21" s="54">
        <f>[8]STA_SP1_NO!$I$170</f>
        <v>3499</v>
      </c>
      <c r="K21" s="62">
        <f>[9]STA_SP1_NO!$I$170</f>
        <v>2928.27</v>
      </c>
      <c r="L21" s="54">
        <f>[10]STA_SP1_NO!$I$170</f>
        <v>4816</v>
      </c>
      <c r="M21" s="372">
        <f>[11]STA_SP1_NO!$I$170</f>
        <v>0</v>
      </c>
      <c r="N21" s="247">
        <f t="shared" si="0"/>
        <v>60634.049999999996</v>
      </c>
    </row>
    <row r="22" spans="1:14" ht="15.75" thickBot="1" x14ac:dyDescent="0.3">
      <c r="A22" s="36"/>
      <c r="B22" s="364" t="s">
        <v>30</v>
      </c>
      <c r="C22" s="348">
        <f>SUM(C4:C21)</f>
        <v>975151.74999999988</v>
      </c>
      <c r="D22" s="358">
        <f>SUM(D4:D21)</f>
        <v>924142.54</v>
      </c>
      <c r="E22" s="348">
        <f t="shared" ref="E22:F22" si="1">SUM(E4:E21)</f>
        <v>205289</v>
      </c>
      <c r="F22" s="360">
        <f t="shared" si="1"/>
        <v>354101.56999999995</v>
      </c>
      <c r="G22" s="374">
        <f t="shared" ref="G22:N22" si="2">SUM(G4:G21)</f>
        <v>385563</v>
      </c>
      <c r="H22" s="360">
        <f t="shared" si="2"/>
        <v>214210.72999999998</v>
      </c>
      <c r="I22" s="348">
        <f t="shared" si="2"/>
        <v>179458</v>
      </c>
      <c r="J22" s="361">
        <f t="shared" si="2"/>
        <v>234445</v>
      </c>
      <c r="K22" s="348">
        <f t="shared" si="2"/>
        <v>261122.51</v>
      </c>
      <c r="L22" s="360">
        <f t="shared" si="2"/>
        <v>394077</v>
      </c>
      <c r="M22" s="362">
        <f t="shared" si="2"/>
        <v>7011.19</v>
      </c>
      <c r="N22" s="248">
        <f t="shared" si="2"/>
        <v>4134572.2899999996</v>
      </c>
    </row>
    <row r="23" spans="1:14" ht="15.75" thickBot="1" x14ac:dyDescent="0.3">
      <c r="A23" s="1"/>
      <c r="B23" s="1"/>
      <c r="C23" s="1"/>
      <c r="D23" s="1"/>
      <c r="E23" s="1"/>
      <c r="F23" s="1"/>
      <c r="G23" s="339"/>
      <c r="H23" s="119"/>
      <c r="I23" s="339"/>
      <c r="J23" s="1"/>
      <c r="K23" s="339"/>
      <c r="L23" s="1"/>
      <c r="M23" s="346"/>
      <c r="N23" s="1"/>
    </row>
    <row r="24" spans="1:14" ht="15.75" thickBot="1" x14ac:dyDescent="0.3">
      <c r="A24" s="446" t="s">
        <v>31</v>
      </c>
      <c r="B24" s="447"/>
      <c r="C24" s="48">
        <f>C22/N22</f>
        <v>0.23585311408353679</v>
      </c>
      <c r="D24" s="47">
        <f>D22/N22</f>
        <v>0.22351587423810654</v>
      </c>
      <c r="E24" s="48">
        <f>E22/N22</f>
        <v>4.9651810538303594E-2</v>
      </c>
      <c r="F24" s="47">
        <f>F22/N22</f>
        <v>8.5644063076715488E-2</v>
      </c>
      <c r="G24" s="48">
        <f>G22/N22</f>
        <v>9.3253418481165321E-2</v>
      </c>
      <c r="H24" s="47">
        <f>H22/N22</f>
        <v>5.180964679662186E-2</v>
      </c>
      <c r="I24" s="48">
        <f>I22/N22</f>
        <v>4.3404247746264467E-2</v>
      </c>
      <c r="J24" s="47">
        <f>J22/N22</f>
        <v>5.6703567758879365E-2</v>
      </c>
      <c r="K24" s="48">
        <f>K22/N22</f>
        <v>6.3155869987219407E-2</v>
      </c>
      <c r="L24" s="47">
        <f>L22/N22</f>
        <v>9.5312639944191188E-2</v>
      </c>
      <c r="M24" s="340">
        <f>M22/N22</f>
        <v>1.6957473489960435E-3</v>
      </c>
      <c r="N24" s="255">
        <f>SUM(C24:M24)</f>
        <v>1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5" t="s">
        <v>0</v>
      </c>
      <c r="B26" s="427" t="s">
        <v>1</v>
      </c>
      <c r="C26" s="486" t="s">
        <v>90</v>
      </c>
      <c r="D26" s="486"/>
      <c r="E26" s="486"/>
      <c r="F26" s="486"/>
      <c r="G26" s="486"/>
      <c r="H26" s="486"/>
      <c r="I26" s="470" t="s">
        <v>3</v>
      </c>
      <c r="J26" s="1"/>
      <c r="K26" s="1"/>
      <c r="L26" s="1"/>
      <c r="M26" s="1"/>
      <c r="N26" s="1"/>
    </row>
    <row r="27" spans="1:14" ht="15.75" thickBot="1" x14ac:dyDescent="0.3">
      <c r="A27" s="426"/>
      <c r="B27" s="429"/>
      <c r="C27" s="189" t="s">
        <v>11</v>
      </c>
      <c r="D27" s="213" t="s">
        <v>32</v>
      </c>
      <c r="E27" s="191" t="s">
        <v>7</v>
      </c>
      <c r="F27" s="127" t="s">
        <v>9</v>
      </c>
      <c r="G27" s="166" t="s">
        <v>4</v>
      </c>
      <c r="H27" s="209" t="s">
        <v>95</v>
      </c>
      <c r="I27" s="482"/>
      <c r="J27" s="81"/>
      <c r="K27" s="413" t="s">
        <v>33</v>
      </c>
      <c r="L27" s="414"/>
      <c r="M27" s="230">
        <f>N22</f>
        <v>4134572.2899999996</v>
      </c>
      <c r="N27" s="231">
        <f>M27/M29</f>
        <v>0.97903088430050123</v>
      </c>
    </row>
    <row r="28" spans="1:14" ht="15.75" thickBot="1" x14ac:dyDescent="0.3">
      <c r="A28" s="22">
        <v>19</v>
      </c>
      <c r="B28" s="128" t="s">
        <v>34</v>
      </c>
      <c r="C28" s="193">
        <f>[12]STA_SP4_ZO!$G$51</f>
        <v>25576</v>
      </c>
      <c r="D28" s="192">
        <f>[13]STA_SP4_ZO!$G$51</f>
        <v>45786</v>
      </c>
      <c r="E28" s="194">
        <f>[14]STA_SP4_ZO!$G$51</f>
        <v>6496</v>
      </c>
      <c r="F28" s="50">
        <f>[15]STA_SP4_ZO!$G$51</f>
        <v>7270</v>
      </c>
      <c r="G28" s="115">
        <f>[16]STA_SP4_ZO!$G$51</f>
        <v>3365.55</v>
      </c>
      <c r="H28" s="50">
        <f>[17]STA_SP4_ZO!$G$51</f>
        <v>61.7</v>
      </c>
      <c r="I28" s="242">
        <f>SUM(C28:H28)</f>
        <v>88555.25</v>
      </c>
      <c r="J28" s="81"/>
      <c r="K28" s="413" t="s">
        <v>34</v>
      </c>
      <c r="L28" s="414"/>
      <c r="M28" s="253">
        <f>I28</f>
        <v>88555.25</v>
      </c>
      <c r="N28" s="233">
        <f>M28/M29</f>
        <v>2.0969115699498865E-2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3" t="s">
        <v>3</v>
      </c>
      <c r="L29" s="414"/>
      <c r="M29" s="254">
        <f>M27+M28</f>
        <v>4223127.5399999991</v>
      </c>
      <c r="N29" s="235">
        <f>M29/M29</f>
        <v>1</v>
      </c>
    </row>
    <row r="30" spans="1:14" ht="15.75" thickBot="1" x14ac:dyDescent="0.3">
      <c r="A30" s="417" t="s">
        <v>35</v>
      </c>
      <c r="B30" s="418"/>
      <c r="C30" s="23">
        <f>C28/I28</f>
        <v>0.28881404546878925</v>
      </c>
      <c r="D30" s="82">
        <f>D28/I28</f>
        <v>0.51703315162003383</v>
      </c>
      <c r="E30" s="23">
        <f>E28/I28</f>
        <v>7.3355334663952734E-2</v>
      </c>
      <c r="F30" s="82">
        <f>F28/I28</f>
        <v>8.2095640856979124E-2</v>
      </c>
      <c r="G30" s="23">
        <f>G28/I28</f>
        <v>3.8005087219560675E-2</v>
      </c>
      <c r="H30" s="82">
        <f>H28/I28</f>
        <v>6.967401706844033E-4</v>
      </c>
      <c r="I30" s="229">
        <f>I28/I28</f>
        <v>1</v>
      </c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N2:N3"/>
    <mergeCell ref="A24:B24"/>
    <mergeCell ref="C1:K1"/>
    <mergeCell ref="A2:A3"/>
    <mergeCell ref="B2:B3"/>
    <mergeCell ref="C2:M2"/>
  </mergeCells>
  <pageMargins left="0.25" right="0.25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K33" sqref="K33"/>
    </sheetView>
  </sheetViews>
  <sheetFormatPr defaultRowHeight="15" x14ac:dyDescent="0.25"/>
  <cols>
    <col min="1" max="1" width="6.42578125" customWidth="1"/>
    <col min="2" max="2" width="25.5703125" customWidth="1"/>
    <col min="8" max="8" width="10" customWidth="1"/>
  </cols>
  <sheetData>
    <row r="1" spans="1:14" ht="28.5" customHeight="1" thickBot="1" x14ac:dyDescent="0.3">
      <c r="A1" s="487" t="s">
        <v>103</v>
      </c>
      <c r="B1" s="487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155" t="s">
        <v>36</v>
      </c>
    </row>
    <row r="2" spans="1:14" ht="15.75" thickBot="1" x14ac:dyDescent="0.3">
      <c r="A2" s="461" t="s">
        <v>0</v>
      </c>
      <c r="B2" s="463" t="s">
        <v>1</v>
      </c>
      <c r="C2" s="375" t="s">
        <v>2</v>
      </c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465" t="s">
        <v>3</v>
      </c>
    </row>
    <row r="3" spans="1:14" ht="21" customHeight="1" thickBot="1" x14ac:dyDescent="0.3">
      <c r="A3" s="462"/>
      <c r="B3" s="464"/>
      <c r="C3" s="66" t="s">
        <v>69</v>
      </c>
      <c r="D3" s="29" t="s">
        <v>4</v>
      </c>
      <c r="E3" s="28" t="s">
        <v>5</v>
      </c>
      <c r="F3" s="27" t="s">
        <v>6</v>
      </c>
      <c r="G3" s="333" t="s">
        <v>8</v>
      </c>
      <c r="H3" s="167" t="s">
        <v>94</v>
      </c>
      <c r="I3" s="333" t="s">
        <v>9</v>
      </c>
      <c r="J3" s="335" t="s">
        <v>38</v>
      </c>
      <c r="K3" s="21" t="s">
        <v>93</v>
      </c>
      <c r="L3" s="337" t="s">
        <v>11</v>
      </c>
      <c r="M3" s="28" t="s">
        <v>96</v>
      </c>
      <c r="N3" s="466"/>
    </row>
    <row r="4" spans="1:14" ht="15.75" thickBot="1" x14ac:dyDescent="0.3">
      <c r="A4" s="30">
        <v>1</v>
      </c>
      <c r="B4" s="31" t="s">
        <v>12</v>
      </c>
      <c r="C4" s="117">
        <f>[1]STA_SP5_NO!$G$10</f>
        <v>28175.58</v>
      </c>
      <c r="D4" s="68">
        <f>[2]STA_SP5_NO!$G$10</f>
        <v>22822.57</v>
      </c>
      <c r="E4" s="117">
        <f>[3]STA_SP5_NO!$G$10</f>
        <v>10355</v>
      </c>
      <c r="F4" s="118">
        <f>[4]STA_SP5_NO!$G$10</f>
        <v>14093.36</v>
      </c>
      <c r="G4" s="143">
        <f>[5]STA_SP5_NO!$G$10</f>
        <v>33737</v>
      </c>
      <c r="H4" s="126">
        <f>[6]STA_SP5_NO!$G$10</f>
        <v>7757.18</v>
      </c>
      <c r="I4" s="143">
        <f>[7]STA_SP5_NO!$G$10</f>
        <v>11477</v>
      </c>
      <c r="J4" s="126">
        <f>[8]STA_SP5_NO!$G$10</f>
        <v>13894.55</v>
      </c>
      <c r="K4" s="143">
        <f>[9]STA_SP5_NO!$G$10</f>
        <v>16571.45</v>
      </c>
      <c r="L4" s="377">
        <f>[10]STA_SP5_NO!$G$10</f>
        <v>35464</v>
      </c>
      <c r="M4" s="379">
        <f>[11]STA_SP5_NO!$G$10</f>
        <v>865.12</v>
      </c>
      <c r="N4" s="247">
        <f t="shared" ref="N4:N21" si="0">SUM(C4:M4)</f>
        <v>195212.81</v>
      </c>
    </row>
    <row r="5" spans="1:14" ht="15.75" thickBot="1" x14ac:dyDescent="0.3">
      <c r="A5" s="32">
        <v>2</v>
      </c>
      <c r="B5" s="33" t="s">
        <v>13</v>
      </c>
      <c r="C5" s="117">
        <f>[1]STA_SP5_NO!$G$11</f>
        <v>12851.35</v>
      </c>
      <c r="D5" s="68">
        <f>[2]STA_SP5_NO!$G$11</f>
        <v>7629.73</v>
      </c>
      <c r="E5" s="117">
        <f>[3]STA_SP5_NO!$G$11</f>
        <v>3802</v>
      </c>
      <c r="F5" s="118">
        <f>[4]STA_SP5_NO!$G$11</f>
        <v>14593</v>
      </c>
      <c r="G5" s="143">
        <f>[5]STA_SP5_NO!$G$11</f>
        <v>8359</v>
      </c>
      <c r="H5" s="126">
        <f>[6]STA_SP5_NO!$G$11</f>
        <v>0</v>
      </c>
      <c r="I5" s="143">
        <f>[7]STA_SP5_NO!$G$11</f>
        <v>6126</v>
      </c>
      <c r="J5" s="126">
        <f>[8]STA_SP5_NO!$G$11</f>
        <v>0</v>
      </c>
      <c r="K5" s="143">
        <f>[9]STA_SP5_NO!$G$11</f>
        <v>2593.4899999999998</v>
      </c>
      <c r="L5" s="377">
        <f>[10]STA_SP5_NO!$G$11</f>
        <v>10991</v>
      </c>
      <c r="M5" s="380">
        <f>[11]STA_SP5_NO!$G$11</f>
        <v>0</v>
      </c>
      <c r="N5" s="247">
        <f t="shared" si="0"/>
        <v>66945.570000000007</v>
      </c>
    </row>
    <row r="6" spans="1:14" ht="15.75" thickBot="1" x14ac:dyDescent="0.3">
      <c r="A6" s="32">
        <v>3</v>
      </c>
      <c r="B6" s="33" t="s">
        <v>14</v>
      </c>
      <c r="C6" s="117">
        <f>[1]STA_SP5_NO!$G$12</f>
        <v>17703.849999999999</v>
      </c>
      <c r="D6" s="68">
        <f>[2]STA_SP5_NO!$G$12</f>
        <v>8275.2999999999993</v>
      </c>
      <c r="E6" s="117">
        <f>[3]STA_SP5_NO!$G$12</f>
        <v>16499</v>
      </c>
      <c r="F6" s="118">
        <f>[4]STA_SP5_NO!$G$12</f>
        <v>24852.3</v>
      </c>
      <c r="G6" s="143">
        <f>[5]STA_SP5_NO!$G$12</f>
        <v>15438</v>
      </c>
      <c r="H6" s="126">
        <f>[6]STA_SP5_NO!$G$12</f>
        <v>79.290000000000006</v>
      </c>
      <c r="I6" s="143">
        <f>[7]STA_SP5_NO!$G$12</f>
        <v>8199</v>
      </c>
      <c r="J6" s="126">
        <f>[8]STA_SP5_NO!$G$12</f>
        <v>12402.92</v>
      </c>
      <c r="K6" s="143">
        <f>[9]STA_SP5_NO!$G$12</f>
        <v>23698.71</v>
      </c>
      <c r="L6" s="377">
        <f>[10]STA_SP5_NO!$G$12</f>
        <v>10926</v>
      </c>
      <c r="M6" s="379">
        <f>[11]STA_SP5_NO!$G$12</f>
        <v>6711.52</v>
      </c>
      <c r="N6" s="247">
        <f t="shared" si="0"/>
        <v>144785.88999999998</v>
      </c>
    </row>
    <row r="7" spans="1:14" ht="15.75" thickBot="1" x14ac:dyDescent="0.3">
      <c r="A7" s="32">
        <v>4</v>
      </c>
      <c r="B7" s="33" t="s">
        <v>15</v>
      </c>
      <c r="C7" s="117">
        <f>[1]STA_SP5_NO!$G$13</f>
        <v>0</v>
      </c>
      <c r="D7" s="68">
        <f>[2]STA_SP5_NO!$G$13</f>
        <v>0</v>
      </c>
      <c r="E7" s="117">
        <f>[3]STA_SP5_NO!$G$13</f>
        <v>0</v>
      </c>
      <c r="F7" s="118">
        <f>[4]STA_SP5_NO!$G$13</f>
        <v>0</v>
      </c>
      <c r="G7" s="143">
        <f>[5]STA_SP5_NO!$G$13</f>
        <v>0</v>
      </c>
      <c r="H7" s="126">
        <f>[6]STA_SP5_NO!$G$13</f>
        <v>0</v>
      </c>
      <c r="I7" s="143">
        <f>[7]STA_SP5_NO!$G$13</f>
        <v>0</v>
      </c>
      <c r="J7" s="126">
        <f>[8]STA_SP5_NO!$G$13</f>
        <v>0</v>
      </c>
      <c r="K7" s="143">
        <f>[9]STA_SP5_NO!$G$13</f>
        <v>0</v>
      </c>
      <c r="L7" s="377">
        <f>[10]STA_SP5_NO!$G$13</f>
        <v>0</v>
      </c>
      <c r="M7" s="381">
        <f>[11]STA_SP5_NO!$G$13</f>
        <v>0</v>
      </c>
      <c r="N7" s="247">
        <f t="shared" si="0"/>
        <v>0</v>
      </c>
    </row>
    <row r="8" spans="1:14" ht="15.75" thickBot="1" x14ac:dyDescent="0.3">
      <c r="A8" s="32">
        <v>5</v>
      </c>
      <c r="B8" s="33" t="s">
        <v>16</v>
      </c>
      <c r="C8" s="117">
        <f>[1]STA_SP5_NO!$G$14</f>
        <v>0</v>
      </c>
      <c r="D8" s="68">
        <f>[2]STA_SP5_NO!$G$14</f>
        <v>0</v>
      </c>
      <c r="E8" s="117">
        <f>[3]STA_SP5_NO!$G$14</f>
        <v>0</v>
      </c>
      <c r="F8" s="118">
        <f>[4]STA_SP5_NO!$G$14</f>
        <v>0</v>
      </c>
      <c r="G8" s="143">
        <f>[5]STA_SP5_NO!$G$14</f>
        <v>0</v>
      </c>
      <c r="H8" s="126">
        <f>[6]STA_SP5_NO!$G$14</f>
        <v>0</v>
      </c>
      <c r="I8" s="143">
        <f>[7]STA_SP5_NO!$G$14</f>
        <v>0</v>
      </c>
      <c r="J8" s="126">
        <f>[8]STA_SP5_NO!$G$14</f>
        <v>0</v>
      </c>
      <c r="K8" s="143">
        <f>[9]STA_SP5_NO!$G$14</f>
        <v>0</v>
      </c>
      <c r="L8" s="377">
        <f>[10]STA_SP5_NO!$G$14</f>
        <v>0</v>
      </c>
      <c r="M8" s="381">
        <f>[11]STA_SP5_NO!$G$14</f>
        <v>0</v>
      </c>
      <c r="N8" s="247">
        <f t="shared" si="0"/>
        <v>0</v>
      </c>
    </row>
    <row r="9" spans="1:14" ht="15.75" thickBot="1" x14ac:dyDescent="0.3">
      <c r="A9" s="32">
        <v>6</v>
      </c>
      <c r="B9" s="33" t="s">
        <v>17</v>
      </c>
      <c r="C9" s="117">
        <f>[1]STA_SP5_NO!$G$15</f>
        <v>0</v>
      </c>
      <c r="D9" s="68">
        <f>[2]STA_SP5_NO!$G$15</f>
        <v>0</v>
      </c>
      <c r="E9" s="117">
        <f>[3]STA_SP5_NO!$G$15</f>
        <v>0</v>
      </c>
      <c r="F9" s="118">
        <f>[4]STA_SP5_NO!$G$15</f>
        <v>0</v>
      </c>
      <c r="G9" s="143">
        <f>[5]STA_SP5_NO!$G$15</f>
        <v>0</v>
      </c>
      <c r="H9" s="126">
        <f>[6]STA_SP5_NO!$G$15</f>
        <v>0</v>
      </c>
      <c r="I9" s="143">
        <f>[7]STA_SP5_NO!$G$15</f>
        <v>0</v>
      </c>
      <c r="J9" s="126">
        <f>[8]STA_SP5_NO!$G$15</f>
        <v>0</v>
      </c>
      <c r="K9" s="143">
        <f>[9]STA_SP5_NO!$G$15</f>
        <v>0</v>
      </c>
      <c r="L9" s="377">
        <f>[10]STA_SP5_NO!$G$15</f>
        <v>0</v>
      </c>
      <c r="M9" s="381">
        <f>[11]STA_SP5_NO!$G$15</f>
        <v>0</v>
      </c>
      <c r="N9" s="247">
        <f t="shared" si="0"/>
        <v>0</v>
      </c>
    </row>
    <row r="10" spans="1:14" ht="15.75" thickBot="1" x14ac:dyDescent="0.3">
      <c r="A10" s="32">
        <v>7</v>
      </c>
      <c r="B10" s="33" t="s">
        <v>18</v>
      </c>
      <c r="C10" s="117">
        <f>[1]STA_SP5_NO!$G$16</f>
        <v>399.18</v>
      </c>
      <c r="D10" s="68">
        <f>[2]STA_SP5_NO!$G$16</f>
        <v>0</v>
      </c>
      <c r="E10" s="117">
        <f>[3]STA_SP5_NO!$G$16</f>
        <v>755</v>
      </c>
      <c r="F10" s="118">
        <f>[4]STA_SP5_NO!$G$16</f>
        <v>0</v>
      </c>
      <c r="G10" s="143">
        <f>[5]STA_SP5_NO!$G$16</f>
        <v>105</v>
      </c>
      <c r="H10" s="126">
        <f>[6]STA_SP5_NO!$G$16</f>
        <v>0</v>
      </c>
      <c r="I10" s="143">
        <f>[7]STA_SP5_NO!$G$16</f>
        <v>0</v>
      </c>
      <c r="J10" s="126">
        <f>[8]STA_SP5_NO!$G$16</f>
        <v>0</v>
      </c>
      <c r="K10" s="143">
        <f>[9]STA_SP5_NO!$G$16</f>
        <v>254</v>
      </c>
      <c r="L10" s="377">
        <f>[10]STA_SP5_NO!$G$16</f>
        <v>1543</v>
      </c>
      <c r="M10" s="381">
        <f>[11]STA_SP5_NO!$G$16</f>
        <v>0</v>
      </c>
      <c r="N10" s="247">
        <f t="shared" si="0"/>
        <v>3056.1800000000003</v>
      </c>
    </row>
    <row r="11" spans="1:14" ht="15.75" thickBot="1" x14ac:dyDescent="0.3">
      <c r="A11" s="32">
        <v>8</v>
      </c>
      <c r="B11" s="33" t="s">
        <v>19</v>
      </c>
      <c r="C11" s="117">
        <f>[1]STA_SP5_NO!$G$17</f>
        <v>18902.080000000002</v>
      </c>
      <c r="D11" s="68">
        <f>[2]STA_SP5_NO!$G$17</f>
        <v>3469.7</v>
      </c>
      <c r="E11" s="117">
        <f>[3]STA_SP5_NO!$G$17</f>
        <v>660</v>
      </c>
      <c r="F11" s="118">
        <f>[4]STA_SP5_NO!$G$17</f>
        <v>3277.23</v>
      </c>
      <c r="G11" s="143">
        <f>[5]STA_SP5_NO!$G$17</f>
        <v>14229</v>
      </c>
      <c r="H11" s="126">
        <f>[6]STA_SP5_NO!$G$17</f>
        <v>48.76</v>
      </c>
      <c r="I11" s="143">
        <f>[7]STA_SP5_NO!$G$17</f>
        <v>6293</v>
      </c>
      <c r="J11" s="126">
        <f>[8]STA_SP5_NO!$G$17</f>
        <v>10952.71</v>
      </c>
      <c r="K11" s="143">
        <f>[9]STA_SP5_NO!$G$17</f>
        <v>3712.68</v>
      </c>
      <c r="L11" s="377">
        <f>[10]STA_SP5_NO!$G$17</f>
        <v>3605</v>
      </c>
      <c r="M11" s="379">
        <f>[11]STA_SP5_NO!$G$17</f>
        <v>234.77</v>
      </c>
      <c r="N11" s="247">
        <f t="shared" si="0"/>
        <v>65384.93</v>
      </c>
    </row>
    <row r="12" spans="1:14" ht="15.75" thickBot="1" x14ac:dyDescent="0.3">
      <c r="A12" s="32">
        <v>9</v>
      </c>
      <c r="B12" s="33" t="s">
        <v>20</v>
      </c>
      <c r="C12" s="117">
        <f>[1]STA_SP5_NO!$G$20</f>
        <v>13057.75</v>
      </c>
      <c r="D12" s="68">
        <f>[2]STA_SP5_NO!$G$20</f>
        <v>4516.63</v>
      </c>
      <c r="E12" s="117">
        <f>[3]STA_SP5_NO!$G$20</f>
        <v>32898</v>
      </c>
      <c r="F12" s="118">
        <f>[4]STA_SP5_NO!$G$20</f>
        <v>12768.22</v>
      </c>
      <c r="G12" s="143">
        <f>[5]STA_SP5_NO!$G$20</f>
        <v>4008</v>
      </c>
      <c r="H12" s="126">
        <f>[6]STA_SP5_NO!$G$20</f>
        <v>48.76</v>
      </c>
      <c r="I12" s="143">
        <f>[7]STA_SP5_NO!$G$20</f>
        <v>2614</v>
      </c>
      <c r="J12" s="126">
        <f>[8]STA_SP5_NO!$G$20</f>
        <v>1833.91</v>
      </c>
      <c r="K12" s="143">
        <f>[9]STA_SP5_NO!$G$20</f>
        <v>1532.42</v>
      </c>
      <c r="L12" s="377">
        <f>[10]STA_SP5_NO!$G$20</f>
        <v>2250</v>
      </c>
      <c r="M12" s="379">
        <f>[11]STA_SP5_NO!$G$20</f>
        <v>95.55</v>
      </c>
      <c r="N12" s="247">
        <f t="shared" si="0"/>
        <v>75623.240000000005</v>
      </c>
    </row>
    <row r="13" spans="1:14" ht="15.75" thickBot="1" x14ac:dyDescent="0.3">
      <c r="A13" s="32">
        <v>10</v>
      </c>
      <c r="B13" s="33" t="s">
        <v>21</v>
      </c>
      <c r="C13" s="117">
        <f>[1]STA_SP5_NO!$G$26</f>
        <v>315165.86</v>
      </c>
      <c r="D13" s="68">
        <f>[2]STA_SP5_NO!$G$26</f>
        <v>235862.19</v>
      </c>
      <c r="E13" s="117">
        <f>[3]STA_SP5_NO!$G$26</f>
        <v>222401</v>
      </c>
      <c r="F13" s="118">
        <f>[4]STA_SP5_NO!$G$26</f>
        <v>192094.55</v>
      </c>
      <c r="G13" s="143">
        <f>[5]STA_SP5_NO!$G$26</f>
        <v>200404</v>
      </c>
      <c r="H13" s="126">
        <f>[6]STA_SP5_NO!$G$26</f>
        <v>146465.62</v>
      </c>
      <c r="I13" s="143">
        <f>[7]STA_SP5_NO!$G$26</f>
        <v>275401</v>
      </c>
      <c r="J13" s="126">
        <f>[8]STA_SP5_NO!$G$26</f>
        <v>243729</v>
      </c>
      <c r="K13" s="143">
        <f>[9]STA_SP5_NO!$G$26</f>
        <v>194995.38</v>
      </c>
      <c r="L13" s="377">
        <f>[10]STA_SP5_NO!$G$26</f>
        <v>353522</v>
      </c>
      <c r="M13" s="379">
        <f>[11]STA_SP5_NO!$G$26</f>
        <v>22354.23</v>
      </c>
      <c r="N13" s="247">
        <f t="shared" si="0"/>
        <v>2402394.83</v>
      </c>
    </row>
    <row r="14" spans="1:14" ht="15.75" thickBot="1" x14ac:dyDescent="0.3">
      <c r="A14" s="32">
        <v>11</v>
      </c>
      <c r="B14" s="33" t="s">
        <v>22</v>
      </c>
      <c r="C14" s="117">
        <f>[1]STA_SP5_NO!$G$33</f>
        <v>0</v>
      </c>
      <c r="D14" s="68">
        <f>[2]STA_SP5_NO!$G$33</f>
        <v>0</v>
      </c>
      <c r="E14" s="117">
        <f>[3]STA_SP5_NO!$G$33</f>
        <v>0</v>
      </c>
      <c r="F14" s="118">
        <f>[4]STA_SP5_NO!$G$33</f>
        <v>0</v>
      </c>
      <c r="G14" s="143">
        <f>[5]STA_SP5_NO!$G$33</f>
        <v>0</v>
      </c>
      <c r="H14" s="126">
        <f>[6]STA_SP5_NO!$G$33</f>
        <v>0</v>
      </c>
      <c r="I14" s="143">
        <f>[7]STA_SP5_NO!$G$33</f>
        <v>0</v>
      </c>
      <c r="J14" s="126">
        <f>[8]STA_SP5_NO!$G$33</f>
        <v>0</v>
      </c>
      <c r="K14" s="143">
        <f>[9]STA_SP5_NO!$G$33</f>
        <v>0</v>
      </c>
      <c r="L14" s="377">
        <f>[10]STA_SP5_NO!$G$33</f>
        <v>0</v>
      </c>
      <c r="M14" s="381">
        <f>[11]STA_SP5_NO!$G$33</f>
        <v>0</v>
      </c>
      <c r="N14" s="247">
        <f t="shared" si="0"/>
        <v>0</v>
      </c>
    </row>
    <row r="15" spans="1:14" ht="15.75" thickBot="1" x14ac:dyDescent="0.3">
      <c r="A15" s="32">
        <v>12</v>
      </c>
      <c r="B15" s="33" t="s">
        <v>23</v>
      </c>
      <c r="C15" s="117">
        <f>[1]STA_SP5_NO!$G$34</f>
        <v>0</v>
      </c>
      <c r="D15" s="68">
        <f>[2]STA_SP5_NO!$G$34</f>
        <v>0</v>
      </c>
      <c r="E15" s="117">
        <f>[3]STA_SP5_NO!$G$34</f>
        <v>0</v>
      </c>
      <c r="F15" s="118">
        <f>[4]STA_SP5_NO!$G$34</f>
        <v>0</v>
      </c>
      <c r="G15" s="143">
        <f>[5]STA_SP5_NO!$G$34</f>
        <v>0</v>
      </c>
      <c r="H15" s="126">
        <f>[6]STA_SP5_NO!$G$34</f>
        <v>0</v>
      </c>
      <c r="I15" s="143">
        <f>[7]STA_SP5_NO!$G$34</f>
        <v>0</v>
      </c>
      <c r="J15" s="126">
        <f>[8]STA_SP5_NO!$G$34</f>
        <v>0</v>
      </c>
      <c r="K15" s="143">
        <f>[9]STA_SP5_NO!$G$34</f>
        <v>0</v>
      </c>
      <c r="L15" s="377">
        <f>[10]STA_SP5_NO!$G$34</f>
        <v>0</v>
      </c>
      <c r="M15" s="381">
        <f>[11]STA_SP5_NO!$G$34</f>
        <v>0</v>
      </c>
      <c r="N15" s="247">
        <f t="shared" si="0"/>
        <v>0</v>
      </c>
    </row>
    <row r="16" spans="1:14" ht="15.75" thickBot="1" x14ac:dyDescent="0.3">
      <c r="A16" s="32">
        <v>13</v>
      </c>
      <c r="B16" s="33" t="s">
        <v>24</v>
      </c>
      <c r="C16" s="117">
        <f>[1]STA_SP5_NO!$G$35</f>
        <v>5840.79</v>
      </c>
      <c r="D16" s="68">
        <f>[2]STA_SP5_NO!$G$35</f>
        <v>2151.36</v>
      </c>
      <c r="E16" s="117">
        <f>[3]STA_SP5_NO!$G$35</f>
        <v>1365</v>
      </c>
      <c r="F16" s="118">
        <f>[4]STA_SP5_NO!$G$35</f>
        <v>500</v>
      </c>
      <c r="G16" s="143">
        <f>[5]STA_SP5_NO!$G$35</f>
        <v>3984</v>
      </c>
      <c r="H16" s="126">
        <f>[6]STA_SP5_NO!$G$35</f>
        <v>49.34</v>
      </c>
      <c r="I16" s="143">
        <f>[7]STA_SP5_NO!$G$35</f>
        <v>5248</v>
      </c>
      <c r="J16" s="126">
        <f>[8]STA_SP5_NO!$G$35</f>
        <v>9971.41</v>
      </c>
      <c r="K16" s="143">
        <f>[9]STA_SP5_NO!$G$35</f>
        <v>1752</v>
      </c>
      <c r="L16" s="377">
        <f>[10]STA_SP5_NO!$G$35</f>
        <v>851</v>
      </c>
      <c r="M16" s="379">
        <f>[11]STA_SP5_NO!$G$35</f>
        <v>23.84</v>
      </c>
      <c r="N16" s="247">
        <f t="shared" si="0"/>
        <v>31736.739999999998</v>
      </c>
    </row>
    <row r="17" spans="1:14" ht="15.75" thickBot="1" x14ac:dyDescent="0.3">
      <c r="A17" s="32">
        <v>14</v>
      </c>
      <c r="B17" s="33" t="s">
        <v>25</v>
      </c>
      <c r="C17" s="117">
        <f>[1]STA_SP5_NO!$G$36</f>
        <v>0</v>
      </c>
      <c r="D17" s="68">
        <f>[2]STA_SP5_NO!$G$36</f>
        <v>0</v>
      </c>
      <c r="E17" s="117">
        <f>[3]STA_SP5_NO!$G$36</f>
        <v>0</v>
      </c>
      <c r="F17" s="118">
        <f>[4]STA_SP5_NO!$G$36</f>
        <v>0</v>
      </c>
      <c r="G17" s="143">
        <f>[5]STA_SP5_NO!$G$36</f>
        <v>0</v>
      </c>
      <c r="H17" s="126">
        <f>[6]STA_SP5_NO!$G$36</f>
        <v>0</v>
      </c>
      <c r="I17" s="143">
        <f>[7]STA_SP5_NO!$G$36</f>
        <v>0</v>
      </c>
      <c r="J17" s="126">
        <f>[8]STA_SP5_NO!$G$36</f>
        <v>0</v>
      </c>
      <c r="K17" s="143">
        <f>[9]STA_SP5_NO!$G$36</f>
        <v>0</v>
      </c>
      <c r="L17" s="377">
        <f>[10]STA_SP5_NO!$G$36</f>
        <v>0</v>
      </c>
      <c r="M17" s="381">
        <f>[11]STA_SP5_NO!$G$36</f>
        <v>0</v>
      </c>
      <c r="N17" s="247">
        <f t="shared" si="0"/>
        <v>0</v>
      </c>
    </row>
    <row r="18" spans="1:14" ht="15.75" thickBot="1" x14ac:dyDescent="0.3">
      <c r="A18" s="32">
        <v>15</v>
      </c>
      <c r="B18" s="33" t="s">
        <v>26</v>
      </c>
      <c r="C18" s="117">
        <f>[1]STA_SP5_NO!$G$37</f>
        <v>0</v>
      </c>
      <c r="D18" s="68">
        <f>[2]STA_SP5_NO!$G$37</f>
        <v>0</v>
      </c>
      <c r="E18" s="117">
        <f>[3]STA_SP5_NO!$G$37</f>
        <v>0</v>
      </c>
      <c r="F18" s="118">
        <f>[4]STA_SP5_NO!$G$37</f>
        <v>0</v>
      </c>
      <c r="G18" s="143">
        <f>[5]STA_SP5_NO!$G$37</f>
        <v>0</v>
      </c>
      <c r="H18" s="126">
        <f>[6]STA_SP5_NO!$G$37</f>
        <v>0</v>
      </c>
      <c r="I18" s="143">
        <f>[7]STA_SP5_NO!$G$37</f>
        <v>0</v>
      </c>
      <c r="J18" s="126">
        <f>[8]STA_SP5_NO!$G$37</f>
        <v>0</v>
      </c>
      <c r="K18" s="143">
        <f>[9]STA_SP5_NO!$G$37</f>
        <v>0</v>
      </c>
      <c r="L18" s="377">
        <f>[10]STA_SP5_NO!$G$37</f>
        <v>0</v>
      </c>
      <c r="M18" s="381">
        <f>[11]STA_SP5_NO!$G$37</f>
        <v>0</v>
      </c>
      <c r="N18" s="247">
        <f t="shared" si="0"/>
        <v>0</v>
      </c>
    </row>
    <row r="19" spans="1:14" ht="15.75" thickBot="1" x14ac:dyDescent="0.3">
      <c r="A19" s="32">
        <v>16</v>
      </c>
      <c r="B19" s="33" t="s">
        <v>27</v>
      </c>
      <c r="C19" s="117">
        <f>[1]STA_SP5_NO!$G$38</f>
        <v>0</v>
      </c>
      <c r="D19" s="68">
        <f>[2]STA_SP5_NO!$G$38</f>
        <v>0</v>
      </c>
      <c r="E19" s="117">
        <f>[3]STA_SP5_NO!$G$38</f>
        <v>89</v>
      </c>
      <c r="F19" s="118">
        <f>[4]STA_SP5_NO!$G$38</f>
        <v>0</v>
      </c>
      <c r="G19" s="143">
        <f>[5]STA_SP5_NO!$G$38</f>
        <v>0</v>
      </c>
      <c r="H19" s="126">
        <f>[6]STA_SP5_NO!$G$38</f>
        <v>0</v>
      </c>
      <c r="I19" s="143">
        <f>[7]STA_SP5_NO!$G$38</f>
        <v>0</v>
      </c>
      <c r="J19" s="126">
        <f>[8]STA_SP5_NO!$G$38</f>
        <v>0</v>
      </c>
      <c r="K19" s="143">
        <f>[9]STA_SP5_NO!$G$38</f>
        <v>0</v>
      </c>
      <c r="L19" s="377">
        <f>[10]STA_SP5_NO!$G$38</f>
        <v>0</v>
      </c>
      <c r="M19" s="381">
        <f>[11]STA_SP5_NO!$G$38</f>
        <v>0</v>
      </c>
      <c r="N19" s="247">
        <f t="shared" si="0"/>
        <v>89</v>
      </c>
    </row>
    <row r="20" spans="1:14" ht="15.75" thickBot="1" x14ac:dyDescent="0.3">
      <c r="A20" s="32">
        <v>17</v>
      </c>
      <c r="B20" s="33" t="s">
        <v>28</v>
      </c>
      <c r="C20" s="117">
        <f>[1]STA_SP5_NO!$G$39</f>
        <v>0</v>
      </c>
      <c r="D20" s="68">
        <f>[2]STA_SP5_NO!$G$39</f>
        <v>0</v>
      </c>
      <c r="E20" s="117">
        <f>[3]STA_SP5_NO!$G$39</f>
        <v>0</v>
      </c>
      <c r="F20" s="118">
        <f>[4]STA_SP5_NO!$G$39</f>
        <v>0</v>
      </c>
      <c r="G20" s="143">
        <f>[5]STA_SP5_NO!$G$39</f>
        <v>0</v>
      </c>
      <c r="H20" s="126">
        <f>[6]STA_SP5_NO!$G$39</f>
        <v>0</v>
      </c>
      <c r="I20" s="143">
        <f>[7]STA_SP5_NO!$G$39</f>
        <v>0</v>
      </c>
      <c r="J20" s="126">
        <f>[8]STA_SP5_NO!$G$39</f>
        <v>0</v>
      </c>
      <c r="K20" s="143">
        <f>[9]STA_SP5_NO!$G$39</f>
        <v>0</v>
      </c>
      <c r="L20" s="377">
        <f>[10]STA_SP5_NO!$G$39</f>
        <v>0</v>
      </c>
      <c r="M20" s="381">
        <f>[11]STA_SP5_NO!$G$39</f>
        <v>0</v>
      </c>
      <c r="N20" s="247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17">
        <f>[1]STA_SP5_NO!$G$40</f>
        <v>559.84</v>
      </c>
      <c r="D21" s="68">
        <f>[2]STA_SP5_NO!$G$40</f>
        <v>955.55</v>
      </c>
      <c r="E21" s="117">
        <f>[3]STA_SP5_NO!$G$40</f>
        <v>2851</v>
      </c>
      <c r="F21" s="118">
        <f>[4]STA_SP5_NO!$G$40</f>
        <v>4178.9799999999996</v>
      </c>
      <c r="G21" s="143">
        <f>[5]STA_SP5_NO!$G$40</f>
        <v>2736</v>
      </c>
      <c r="H21" s="126">
        <f>[6]STA_SP5_NO!$G$40</f>
        <v>814.65</v>
      </c>
      <c r="I21" s="143">
        <f>[7]STA_SP5_NO!$G$40</f>
        <v>737</v>
      </c>
      <c r="J21" s="126">
        <f>[8]STA_SP5_NO!$G$40</f>
        <v>4758.59</v>
      </c>
      <c r="K21" s="143">
        <f>[9]STA_SP5_NO!$G$40</f>
        <v>838</v>
      </c>
      <c r="L21" s="377">
        <f>[10]STA_SP5_NO!$G$40</f>
        <v>2564</v>
      </c>
      <c r="M21" s="381">
        <f>[11]STA_SP5_NO!$G$40</f>
        <v>165.4</v>
      </c>
      <c r="N21" s="247">
        <f t="shared" si="0"/>
        <v>21159.010000000002</v>
      </c>
    </row>
    <row r="22" spans="1:14" ht="15.75" thickBot="1" x14ac:dyDescent="0.3">
      <c r="A22" s="36"/>
      <c r="B22" s="37" t="s">
        <v>30</v>
      </c>
      <c r="C22" s="41">
        <f t="shared" ref="C22:F22" si="1">SUM(C4:C21)</f>
        <v>412656.28</v>
      </c>
      <c r="D22" s="42">
        <f>SUM(D4:D21)</f>
        <v>285683.02999999997</v>
      </c>
      <c r="E22" s="41">
        <f t="shared" si="1"/>
        <v>291675</v>
      </c>
      <c r="F22" s="39">
        <f t="shared" si="1"/>
        <v>266357.63999999996</v>
      </c>
      <c r="G22" s="40">
        <f t="shared" ref="G22:N22" si="2">SUM(G4:G21)</f>
        <v>283000</v>
      </c>
      <c r="H22" s="39">
        <f t="shared" si="2"/>
        <v>155263.59999999998</v>
      </c>
      <c r="I22" s="40">
        <f t="shared" si="2"/>
        <v>316095</v>
      </c>
      <c r="J22" s="51">
        <f t="shared" si="2"/>
        <v>297543.09000000003</v>
      </c>
      <c r="K22" s="40">
        <f t="shared" si="2"/>
        <v>245948.13</v>
      </c>
      <c r="L22" s="378">
        <f t="shared" si="2"/>
        <v>421716</v>
      </c>
      <c r="M22" s="382">
        <f t="shared" si="2"/>
        <v>30450.430000000004</v>
      </c>
      <c r="N22" s="248">
        <f t="shared" si="2"/>
        <v>3006388.2</v>
      </c>
    </row>
    <row r="23" spans="1:14" ht="15.75" thickBot="1" x14ac:dyDescent="0.3">
      <c r="A23" s="1"/>
      <c r="B23" s="1"/>
      <c r="C23" s="1"/>
      <c r="D23" s="1"/>
      <c r="E23" s="1"/>
      <c r="F23" s="1"/>
      <c r="G23" s="339"/>
      <c r="H23" s="119"/>
      <c r="I23" s="339"/>
      <c r="J23" s="1"/>
      <c r="K23" s="339"/>
      <c r="L23" s="1"/>
      <c r="M23" s="346"/>
      <c r="N23" s="1"/>
    </row>
    <row r="24" spans="1:14" ht="15.75" thickBot="1" x14ac:dyDescent="0.3">
      <c r="A24" s="446" t="s">
        <v>31</v>
      </c>
      <c r="B24" s="447"/>
      <c r="C24" s="48">
        <f>C22/N22</f>
        <v>0.13725981228904505</v>
      </c>
      <c r="D24" s="47">
        <f>D22/N22</f>
        <v>9.5025329729540572E-2</v>
      </c>
      <c r="E24" s="48">
        <f>E22/N22</f>
        <v>9.7018408999875655E-2</v>
      </c>
      <c r="F24" s="47">
        <f>F22/N22</f>
        <v>8.8597221077437685E-2</v>
      </c>
      <c r="G24" s="48">
        <f>G22/N22</f>
        <v>9.4132886764257517E-2</v>
      </c>
      <c r="H24" s="47">
        <f>H22/N22</f>
        <v>5.1644561404279053E-2</v>
      </c>
      <c r="I24" s="48">
        <f>I22/N22</f>
        <v>0.10514111251501053</v>
      </c>
      <c r="J24" s="47">
        <f>J22/N22</f>
        <v>9.8970282680061084E-2</v>
      </c>
      <c r="K24" s="48">
        <f>K22/N22</f>
        <v>8.180850696526816E-2</v>
      </c>
      <c r="L24" s="47">
        <f>L22/N22</f>
        <v>0.14027330203065591</v>
      </c>
      <c r="M24" s="340">
        <f>M22/N22</f>
        <v>1.0128575544568729E-2</v>
      </c>
      <c r="N24" s="249">
        <f>SUM(C24:M24)</f>
        <v>1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5" t="s">
        <v>0</v>
      </c>
      <c r="B26" s="427" t="s">
        <v>1</v>
      </c>
      <c r="C26" s="486" t="s">
        <v>90</v>
      </c>
      <c r="D26" s="486"/>
      <c r="E26" s="486"/>
      <c r="F26" s="486"/>
      <c r="G26" s="486"/>
      <c r="H26" s="486"/>
      <c r="I26" s="470" t="s">
        <v>3</v>
      </c>
      <c r="J26" s="1"/>
      <c r="K26" s="1"/>
      <c r="L26" s="1"/>
      <c r="M26" s="1"/>
      <c r="N26" s="1"/>
    </row>
    <row r="27" spans="1:14" ht="15.75" thickBot="1" x14ac:dyDescent="0.3">
      <c r="A27" s="426"/>
      <c r="B27" s="429"/>
      <c r="C27" s="189" t="s">
        <v>11</v>
      </c>
      <c r="D27" s="213" t="s">
        <v>32</v>
      </c>
      <c r="E27" s="191" t="s">
        <v>7</v>
      </c>
      <c r="F27" s="127" t="s">
        <v>9</v>
      </c>
      <c r="G27" s="166" t="s">
        <v>4</v>
      </c>
      <c r="H27" s="209" t="s">
        <v>95</v>
      </c>
      <c r="I27" s="482"/>
      <c r="J27" s="81"/>
      <c r="K27" s="413" t="s">
        <v>33</v>
      </c>
      <c r="L27" s="414"/>
      <c r="M27" s="230">
        <f>N22</f>
        <v>3006388.2</v>
      </c>
      <c r="N27" s="231">
        <f>M27/M29</f>
        <v>0.98897711206391548</v>
      </c>
    </row>
    <row r="28" spans="1:14" ht="15.75" thickBot="1" x14ac:dyDescent="0.3">
      <c r="A28" s="22">
        <v>19</v>
      </c>
      <c r="B28" s="128" t="s">
        <v>34</v>
      </c>
      <c r="C28" s="193">
        <f>[12]STA_SP4_ZO!$H$51</f>
        <v>5953</v>
      </c>
      <c r="D28" s="192">
        <f>[13]STA_SP4_ZO!$H$51</f>
        <v>10235</v>
      </c>
      <c r="E28" s="194">
        <f>[14]STA_SP4_ZO!$H$51</f>
        <v>14284</v>
      </c>
      <c r="F28" s="50">
        <f>[15]STA_SP4_ZO!$H$51</f>
        <v>2179</v>
      </c>
      <c r="G28" s="115">
        <f>[16]STA_SP4_ZO!$H$51</f>
        <v>563.5</v>
      </c>
      <c r="H28" s="50">
        <f>[17]STA_SP4_ZO!$H$51</f>
        <v>293.94</v>
      </c>
      <c r="I28" s="242">
        <f>SUM(C28:H28)</f>
        <v>33508.44</v>
      </c>
      <c r="J28" s="81"/>
      <c r="K28" s="413" t="s">
        <v>34</v>
      </c>
      <c r="L28" s="414"/>
      <c r="M28" s="253">
        <f>I28</f>
        <v>33508.44</v>
      </c>
      <c r="N28" s="233">
        <f>M28/M29</f>
        <v>1.1022887936084564E-2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3" t="s">
        <v>3</v>
      </c>
      <c r="L29" s="414"/>
      <c r="M29" s="254">
        <f>M27+M28</f>
        <v>3039896.64</v>
      </c>
      <c r="N29" s="235">
        <f>M29/M29</f>
        <v>1</v>
      </c>
    </row>
    <row r="30" spans="1:14" ht="15.75" thickBot="1" x14ac:dyDescent="0.3">
      <c r="A30" s="417" t="s">
        <v>35</v>
      </c>
      <c r="B30" s="418"/>
      <c r="C30" s="23">
        <f>C28/I28</f>
        <v>0.17765673364680659</v>
      </c>
      <c r="D30" s="82">
        <f>D28/I28</f>
        <v>0.30544543404587021</v>
      </c>
      <c r="E30" s="23">
        <f>E28/I28</f>
        <v>0.42628066242415341</v>
      </c>
      <c r="F30" s="82">
        <f>F28/I28</f>
        <v>6.5028392846697716E-2</v>
      </c>
      <c r="G30" s="23">
        <f>G28/I28</f>
        <v>1.6816658728368135E-2</v>
      </c>
      <c r="H30" s="82">
        <f>H28/I28</f>
        <v>8.7721183081038677E-3</v>
      </c>
      <c r="I30" s="229">
        <f>I28/I28</f>
        <v>1</v>
      </c>
      <c r="J30" s="1"/>
      <c r="K30" s="1"/>
      <c r="L30" s="1"/>
      <c r="M30" s="1"/>
      <c r="N30" s="1"/>
    </row>
  </sheetData>
  <mergeCells count="13">
    <mergeCell ref="N2:N3"/>
    <mergeCell ref="A24:B24"/>
    <mergeCell ref="K29:L29"/>
    <mergeCell ref="A30:B30"/>
    <mergeCell ref="A1:M1"/>
    <mergeCell ref="A26:A27"/>
    <mergeCell ref="B26:B27"/>
    <mergeCell ref="K27:L27"/>
    <mergeCell ref="K28:L28"/>
    <mergeCell ref="A2:A3"/>
    <mergeCell ref="B2:B3"/>
    <mergeCell ref="I26:I27"/>
    <mergeCell ref="C26:H26"/>
  </mergeCells>
  <pageMargins left="0.7" right="0.7" top="0.75" bottom="0.75" header="0.3" footer="0.3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H28" sqref="H28"/>
    </sheetView>
  </sheetViews>
  <sheetFormatPr defaultRowHeight="15" x14ac:dyDescent="0.25"/>
  <cols>
    <col min="1" max="1" width="3.85546875" customWidth="1"/>
    <col min="2" max="2" width="27.85546875" customWidth="1"/>
  </cols>
  <sheetData>
    <row r="1" spans="1:14" ht="24.75" customHeight="1" thickBot="1" x14ac:dyDescent="0.3">
      <c r="A1" s="26"/>
      <c r="B1" s="26"/>
      <c r="C1" s="458" t="s">
        <v>104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52"/>
    </row>
    <row r="2" spans="1:14" ht="15.75" thickBot="1" x14ac:dyDescent="0.3">
      <c r="A2" s="461" t="s">
        <v>0</v>
      </c>
      <c r="B2" s="463" t="s">
        <v>1</v>
      </c>
      <c r="C2" s="483" t="s">
        <v>2</v>
      </c>
      <c r="D2" s="484"/>
      <c r="E2" s="484"/>
      <c r="F2" s="484"/>
      <c r="G2" s="484"/>
      <c r="H2" s="484"/>
      <c r="I2" s="484"/>
      <c r="J2" s="484"/>
      <c r="K2" s="484"/>
      <c r="L2" s="484"/>
      <c r="M2" s="485"/>
      <c r="N2" s="488" t="s">
        <v>3</v>
      </c>
    </row>
    <row r="3" spans="1:14" x14ac:dyDescent="0.25">
      <c r="A3" s="501"/>
      <c r="B3" s="502"/>
      <c r="C3" s="491" t="s">
        <v>69</v>
      </c>
      <c r="D3" s="493" t="s">
        <v>4</v>
      </c>
      <c r="E3" s="495" t="s">
        <v>5</v>
      </c>
      <c r="F3" s="463" t="s">
        <v>6</v>
      </c>
      <c r="G3" s="497" t="s">
        <v>8</v>
      </c>
      <c r="H3" s="463" t="s">
        <v>94</v>
      </c>
      <c r="I3" s="495" t="s">
        <v>9</v>
      </c>
      <c r="J3" s="505" t="s">
        <v>38</v>
      </c>
      <c r="K3" s="495" t="s">
        <v>93</v>
      </c>
      <c r="L3" s="463" t="s">
        <v>11</v>
      </c>
      <c r="M3" s="499" t="s">
        <v>96</v>
      </c>
      <c r="N3" s="489"/>
    </row>
    <row r="4" spans="1:14" ht="15.75" thickBot="1" x14ac:dyDescent="0.3">
      <c r="A4" s="496"/>
      <c r="B4" s="503"/>
      <c r="C4" s="492"/>
      <c r="D4" s="494"/>
      <c r="E4" s="496"/>
      <c r="F4" s="496"/>
      <c r="G4" s="498"/>
      <c r="H4" s="464"/>
      <c r="I4" s="504"/>
      <c r="J4" s="506"/>
      <c r="K4" s="504"/>
      <c r="L4" s="464"/>
      <c r="M4" s="500"/>
      <c r="N4" s="490"/>
    </row>
    <row r="5" spans="1:14" ht="15.75" thickBot="1" x14ac:dyDescent="0.3">
      <c r="A5" s="30">
        <v>1</v>
      </c>
      <c r="B5" s="31" t="s">
        <v>39</v>
      </c>
      <c r="C5" s="117">
        <f>[1]STA_SP2_NO!$C$11</f>
        <v>65970</v>
      </c>
      <c r="D5" s="68">
        <f>[2]STA_SP2_NO!$C$11</f>
        <v>34913</v>
      </c>
      <c r="E5" s="117">
        <f>[3]STA_SP2_NO!$C$11</f>
        <v>22243</v>
      </c>
      <c r="F5" s="118">
        <f>[4]STA_SP2_NO!$C$11</f>
        <v>37144</v>
      </c>
      <c r="G5" s="383">
        <f>[5]STA_SP2_NO!$C$11</f>
        <v>38518</v>
      </c>
      <c r="H5" s="126">
        <f>[6]STA_SP2_NO!$C$11</f>
        <v>53423</v>
      </c>
      <c r="I5" s="143">
        <f>[7]STA_SP2_NO!$C$11</f>
        <v>84170</v>
      </c>
      <c r="J5" s="126">
        <f>[8]STA_SP2_NO!$C$11</f>
        <v>46047</v>
      </c>
      <c r="K5" s="143">
        <f>[9]STA_SP2_NO!$C$11</f>
        <v>27217</v>
      </c>
      <c r="L5" s="377">
        <f>[10]STA_SP2_NO!$C$11</f>
        <v>57089</v>
      </c>
      <c r="M5" s="330">
        <f>[11]STA_SP2_NO!$C$11</f>
        <v>3976</v>
      </c>
      <c r="N5" s="247">
        <f t="shared" ref="N5:N17" si="0">SUM(C5:M5)</f>
        <v>470710</v>
      </c>
    </row>
    <row r="6" spans="1:14" ht="15.75" thickBot="1" x14ac:dyDescent="0.3">
      <c r="A6" s="32">
        <v>2</v>
      </c>
      <c r="B6" s="33" t="s">
        <v>40</v>
      </c>
      <c r="C6" s="117">
        <f>[1]STA_SP2_NO!$C$12</f>
        <v>7246</v>
      </c>
      <c r="D6" s="68">
        <f>[2]STA_SP2_NO!$C$12</f>
        <v>4064</v>
      </c>
      <c r="E6" s="117">
        <f>[3]STA_SP2_NO!$C$12</f>
        <v>2323</v>
      </c>
      <c r="F6" s="118">
        <f>[4]STA_SP2_NO!$C$12</f>
        <v>5192</v>
      </c>
      <c r="G6" s="383">
        <f>[5]STA_SP2_NO!$C$12</f>
        <v>3456</v>
      </c>
      <c r="H6" s="126">
        <f>[6]STA_SP2_NO!$C$12</f>
        <v>4253</v>
      </c>
      <c r="I6" s="143">
        <f>[7]STA_SP2_NO!$C$12</f>
        <v>9345</v>
      </c>
      <c r="J6" s="126">
        <f>[8]STA_SP2_NO!$C$12</f>
        <v>4461</v>
      </c>
      <c r="K6" s="143">
        <f>[9]STA_SP2_NO!$C$12</f>
        <v>3092</v>
      </c>
      <c r="L6" s="377">
        <f>[10]STA_SP2_NO!$C$12</f>
        <v>4750</v>
      </c>
      <c r="M6" s="330">
        <f>[11]STA_SP2_NO!$C$12</f>
        <v>362</v>
      </c>
      <c r="N6" s="247">
        <f t="shared" si="0"/>
        <v>48544</v>
      </c>
    </row>
    <row r="7" spans="1:14" ht="15.75" thickBot="1" x14ac:dyDescent="0.3">
      <c r="A7" s="32">
        <v>3</v>
      </c>
      <c r="B7" s="33" t="s">
        <v>41</v>
      </c>
      <c r="C7" s="117">
        <f>[1]STA_SP2_NO!$C$13</f>
        <v>608</v>
      </c>
      <c r="D7" s="68">
        <f>[2]STA_SP2_NO!$C$13</f>
        <v>264</v>
      </c>
      <c r="E7" s="117">
        <f>[3]STA_SP2_NO!$C$13</f>
        <v>157</v>
      </c>
      <c r="F7" s="118">
        <f>[4]STA_SP2_NO!$C$13</f>
        <v>288</v>
      </c>
      <c r="G7" s="383">
        <f>[5]STA_SP2_NO!$C$13</f>
        <v>589</v>
      </c>
      <c r="H7" s="126">
        <f>[6]STA_SP2_NO!$C$13</f>
        <v>181</v>
      </c>
      <c r="I7" s="143">
        <f>[7]STA_SP2_NO!$C$13</f>
        <v>474</v>
      </c>
      <c r="J7" s="126">
        <f>[8]STA_SP2_NO!$C$13</f>
        <v>390</v>
      </c>
      <c r="K7" s="143">
        <f>[9]STA_SP2_NO!$C$13</f>
        <v>165</v>
      </c>
      <c r="L7" s="377">
        <f>[10]STA_SP2_NO!$C$13</f>
        <v>149</v>
      </c>
      <c r="M7" s="330">
        <f>[11]STA_SP2_NO!$C$13</f>
        <v>11</v>
      </c>
      <c r="N7" s="247">
        <f t="shared" si="0"/>
        <v>3276</v>
      </c>
    </row>
    <row r="8" spans="1:14" ht="15.75" thickBot="1" x14ac:dyDescent="0.3">
      <c r="A8" s="32">
        <v>4</v>
      </c>
      <c r="B8" s="33" t="s">
        <v>42</v>
      </c>
      <c r="C8" s="117">
        <f>[1]STA_SP2_NO!$C$14</f>
        <v>1308</v>
      </c>
      <c r="D8" s="68">
        <f>[2]STA_SP2_NO!$C$14</f>
        <v>736</v>
      </c>
      <c r="E8" s="117">
        <f>[3]STA_SP2_NO!$C$14</f>
        <v>175</v>
      </c>
      <c r="F8" s="118">
        <f>[4]STA_SP2_NO!$C$14</f>
        <v>498</v>
      </c>
      <c r="G8" s="383">
        <f>[5]STA_SP2_NO!$C$14</f>
        <v>383</v>
      </c>
      <c r="H8" s="126">
        <f>[6]STA_SP2_NO!$C$14</f>
        <v>684</v>
      </c>
      <c r="I8" s="143">
        <f>[7]STA_SP2_NO!$C$14</f>
        <v>965</v>
      </c>
      <c r="J8" s="126">
        <f>[8]STA_SP2_NO!$C$14</f>
        <v>832</v>
      </c>
      <c r="K8" s="143">
        <f>[9]STA_SP2_NO!$C$14</f>
        <v>426</v>
      </c>
      <c r="L8" s="377">
        <f>[10]STA_SP2_NO!$C$14</f>
        <v>1062</v>
      </c>
      <c r="M8" s="330">
        <f>[11]STA_SP2_NO!$C$14</f>
        <v>64</v>
      </c>
      <c r="N8" s="247">
        <f t="shared" si="0"/>
        <v>7133</v>
      </c>
    </row>
    <row r="9" spans="1:14" ht="15.75" thickBot="1" x14ac:dyDescent="0.3">
      <c r="A9" s="32">
        <v>5</v>
      </c>
      <c r="B9" s="33" t="s">
        <v>43</v>
      </c>
      <c r="C9" s="117">
        <f>[1]STA_SP2_NO!$C$15</f>
        <v>116</v>
      </c>
      <c r="D9" s="68">
        <f>[2]STA_SP2_NO!$C$15</f>
        <v>30</v>
      </c>
      <c r="E9" s="117">
        <f>[3]STA_SP2_NO!$C$15</f>
        <v>76</v>
      </c>
      <c r="F9" s="118">
        <f>[4]STA_SP2_NO!$C$15</f>
        <v>46</v>
      </c>
      <c r="G9" s="383">
        <f>[5]STA_SP2_NO!$C$15</f>
        <v>28</v>
      </c>
      <c r="H9" s="126">
        <f>[6]STA_SP2_NO!$C$15</f>
        <v>221</v>
      </c>
      <c r="I9" s="143">
        <f>[7]STA_SP2_NO!$C$15</f>
        <v>70</v>
      </c>
      <c r="J9" s="126">
        <f>[8]STA_SP2_NO!$C$15</f>
        <v>223</v>
      </c>
      <c r="K9" s="143">
        <f>[9]STA_SP2_NO!$C$15</f>
        <v>23</v>
      </c>
      <c r="L9" s="377">
        <f>[10]STA_SP2_NO!$C$15</f>
        <v>42</v>
      </c>
      <c r="M9" s="330">
        <f>[11]STA_SP2_NO!$C$15</f>
        <v>1</v>
      </c>
      <c r="N9" s="247">
        <f t="shared" si="0"/>
        <v>876</v>
      </c>
    </row>
    <row r="10" spans="1:14" ht="15.75" thickBot="1" x14ac:dyDescent="0.3">
      <c r="A10" s="32">
        <v>6</v>
      </c>
      <c r="B10" s="33" t="s">
        <v>44</v>
      </c>
      <c r="C10" s="117">
        <f>[1]STA_SP2_NO!$C$16</f>
        <v>7204</v>
      </c>
      <c r="D10" s="68">
        <f>[2]STA_SP2_NO!$C$16</f>
        <v>3768</v>
      </c>
      <c r="E10" s="117">
        <f>[3]STA_SP2_NO!$C$16</f>
        <v>1816</v>
      </c>
      <c r="F10" s="118">
        <f>[4]STA_SP2_NO!$C$16</f>
        <v>4957</v>
      </c>
      <c r="G10" s="383">
        <f>[5]STA_SP2_NO!$C$16</f>
        <v>3609</v>
      </c>
      <c r="H10" s="126">
        <f>[6]STA_SP2_NO!$C$16</f>
        <v>5721</v>
      </c>
      <c r="I10" s="143">
        <f>[7]STA_SP2_NO!$C$16</f>
        <v>7702</v>
      </c>
      <c r="J10" s="126">
        <f>[8]STA_SP2_NO!$C$16</f>
        <v>5025</v>
      </c>
      <c r="K10" s="143">
        <f>[9]STA_SP2_NO!$C$16</f>
        <v>2349</v>
      </c>
      <c r="L10" s="377">
        <f>[10]STA_SP2_NO!$C$16</f>
        <v>7992</v>
      </c>
      <c r="M10" s="330">
        <f>[11]STA_SP2_NO!$C$16</f>
        <v>79</v>
      </c>
      <c r="N10" s="247">
        <f t="shared" si="0"/>
        <v>50222</v>
      </c>
    </row>
    <row r="11" spans="1:14" ht="15.75" thickBot="1" x14ac:dyDescent="0.3">
      <c r="A11" s="32">
        <v>7</v>
      </c>
      <c r="B11" s="33" t="s">
        <v>45</v>
      </c>
      <c r="C11" s="117">
        <f>[1]STA_SP2_NO!$C$17</f>
        <v>1814</v>
      </c>
      <c r="D11" s="68">
        <f>[2]STA_SP2_NO!$C$17</f>
        <v>1393</v>
      </c>
      <c r="E11" s="117">
        <f>[3]STA_SP2_NO!$C$17</f>
        <v>546</v>
      </c>
      <c r="F11" s="118">
        <f>[4]STA_SP2_NO!$C$17</f>
        <v>1330</v>
      </c>
      <c r="G11" s="383">
        <f>[5]STA_SP2_NO!$C$17</f>
        <v>690</v>
      </c>
      <c r="H11" s="126">
        <f>[6]STA_SP2_NO!$C$17</f>
        <v>1066</v>
      </c>
      <c r="I11" s="143">
        <f>[7]STA_SP2_NO!$C$17</f>
        <v>1859</v>
      </c>
      <c r="J11" s="126">
        <f>[8]STA_SP2_NO!$C$17</f>
        <v>1355</v>
      </c>
      <c r="K11" s="143">
        <f>[9]STA_SP2_NO!$C$17</f>
        <v>802</v>
      </c>
      <c r="L11" s="377">
        <f>[10]STA_SP2_NO!$C$17</f>
        <v>1165</v>
      </c>
      <c r="M11" s="330">
        <f>[11]STA_SP2_NO!$C$17</f>
        <v>82</v>
      </c>
      <c r="N11" s="247">
        <f t="shared" si="0"/>
        <v>12102</v>
      </c>
    </row>
    <row r="12" spans="1:14" ht="15.75" thickBot="1" x14ac:dyDescent="0.3">
      <c r="A12" s="32">
        <v>8</v>
      </c>
      <c r="B12" s="33" t="s">
        <v>46</v>
      </c>
      <c r="C12" s="117">
        <f>[1]STA_SP2_NO!$C$18</f>
        <v>323</v>
      </c>
      <c r="D12" s="68">
        <f>[2]STA_SP2_NO!$C$18</f>
        <v>101</v>
      </c>
      <c r="E12" s="117">
        <f>[3]STA_SP2_NO!$C$18</f>
        <v>100</v>
      </c>
      <c r="F12" s="118">
        <f>[4]STA_SP2_NO!$C$18</f>
        <v>147</v>
      </c>
      <c r="G12" s="383">
        <f>[5]STA_SP2_NO!$C$18</f>
        <v>124</v>
      </c>
      <c r="H12" s="126">
        <f>[6]STA_SP2_NO!$C$18</f>
        <v>0</v>
      </c>
      <c r="I12" s="143">
        <f>[7]STA_SP2_NO!$C$18</f>
        <v>307</v>
      </c>
      <c r="J12" s="126">
        <f>[8]STA_SP2_NO!$C$18</f>
        <v>291</v>
      </c>
      <c r="K12" s="143">
        <f>[9]STA_SP2_NO!$C$18</f>
        <v>82</v>
      </c>
      <c r="L12" s="377">
        <f>[10]STA_SP2_NO!$C$18</f>
        <v>125</v>
      </c>
      <c r="M12" s="330">
        <f>[11]STA_SP2_NO!$C$18</f>
        <v>10</v>
      </c>
      <c r="N12" s="247">
        <f t="shared" si="0"/>
        <v>1610</v>
      </c>
    </row>
    <row r="13" spans="1:14" ht="23.25" thickBot="1" x14ac:dyDescent="0.3">
      <c r="A13" s="32">
        <v>9</v>
      </c>
      <c r="B13" s="53" t="s">
        <v>47</v>
      </c>
      <c r="C13" s="117">
        <f>[1]STA_SP2_NO!$C$19</f>
        <v>0</v>
      </c>
      <c r="D13" s="68">
        <f>[2]STA_SP2_NO!$C$19</f>
        <v>0</v>
      </c>
      <c r="E13" s="117">
        <f>[3]STA_SP2_NO!$C$19</f>
        <v>0</v>
      </c>
      <c r="F13" s="118">
        <f>[4]STA_SP2_NO!$C$19</f>
        <v>0</v>
      </c>
      <c r="G13" s="383">
        <f>[5]STA_SP2_NO!$C$19</f>
        <v>0</v>
      </c>
      <c r="H13" s="126">
        <f>[6]STA_SP2_NO!$C$19</f>
        <v>0</v>
      </c>
      <c r="I13" s="143">
        <f>[7]STA_SP2_NO!$C$19</f>
        <v>0</v>
      </c>
      <c r="J13" s="126">
        <f>[8]STA_SP2_NO!$C$19</f>
        <v>0</v>
      </c>
      <c r="K13" s="143">
        <f>[9]STA_SP2_NO!$C$19</f>
        <v>0</v>
      </c>
      <c r="L13" s="377">
        <f>[10]STA_SP2_NO!$C$19</f>
        <v>0</v>
      </c>
      <c r="M13" s="330">
        <f>[11]STA_SP2_NO!$C$19</f>
        <v>0</v>
      </c>
      <c r="N13" s="247">
        <f t="shared" si="0"/>
        <v>0</v>
      </c>
    </row>
    <row r="14" spans="1:14" ht="23.25" thickBot="1" x14ac:dyDescent="0.3">
      <c r="A14" s="32">
        <v>10</v>
      </c>
      <c r="B14" s="53" t="s">
        <v>48</v>
      </c>
      <c r="C14" s="62">
        <f>[1]STA_SP2_NO!$C$20</f>
        <v>0</v>
      </c>
      <c r="D14" s="68">
        <f>[2]STA_SP2_NO!$C$20</f>
        <v>0</v>
      </c>
      <c r="E14" s="117">
        <f>[3]STA_SP2_NO!$C$20</f>
        <v>0</v>
      </c>
      <c r="F14" s="118">
        <f>[4]STA_SP2_NO!$C$20</f>
        <v>0</v>
      </c>
      <c r="G14" s="383">
        <f>[5]STA_SP2_NO!$C$20</f>
        <v>0</v>
      </c>
      <c r="H14" s="126">
        <f>[6]STA_SP2_NO!$C$20</f>
        <v>0</v>
      </c>
      <c r="I14" s="143">
        <f>[7]STA_SP2_NO!$C$20</f>
        <v>0</v>
      </c>
      <c r="J14" s="126">
        <f>[8]STA_SP2_NO!$C$20</f>
        <v>0</v>
      </c>
      <c r="K14" s="143">
        <f>[9]STA_SP2_NO!$C$20</f>
        <v>0</v>
      </c>
      <c r="L14" s="377">
        <f>[10]STA_SP2_NO!$C$20</f>
        <v>0</v>
      </c>
      <c r="M14" s="330">
        <f>[11]STA_SP2_NO!$C$20</f>
        <v>0</v>
      </c>
      <c r="N14" s="247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62">
        <f>[1]STA_SP2_NO!$C$21</f>
        <v>0</v>
      </c>
      <c r="D15" s="68">
        <f>[2]STA_SP2_NO!$C$21</f>
        <v>0</v>
      </c>
      <c r="E15" s="117">
        <f>[3]STA_SP2_NO!$C$21</f>
        <v>0</v>
      </c>
      <c r="F15" s="118">
        <f>[4]STA_SP2_NO!$C$21</f>
        <v>0</v>
      </c>
      <c r="G15" s="383">
        <f>[5]STA_SP2_NO!$C$21</f>
        <v>919</v>
      </c>
      <c r="H15" s="126">
        <f>[6]STA_SP2_NO!$C$21</f>
        <v>0</v>
      </c>
      <c r="I15" s="143">
        <f>[7]STA_SP2_NO!$C$21</f>
        <v>0</v>
      </c>
      <c r="J15" s="126">
        <f>[8]STA_SP2_NO!$C$21</f>
        <v>0</v>
      </c>
      <c r="K15" s="143">
        <f>[9]STA_SP2_NO!$C$21</f>
        <v>0</v>
      </c>
      <c r="L15" s="377">
        <f>[10]STA_SP2_NO!$C$21</f>
        <v>0</v>
      </c>
      <c r="M15" s="330">
        <f>[11]STA_SP2_NO!$C$21</f>
        <v>172</v>
      </c>
      <c r="N15" s="247">
        <f t="shared" si="0"/>
        <v>1091</v>
      </c>
    </row>
    <row r="16" spans="1:14" ht="49.5" customHeight="1" thickBot="1" x14ac:dyDescent="0.3">
      <c r="A16" s="32">
        <v>12</v>
      </c>
      <c r="B16" s="53" t="s">
        <v>50</v>
      </c>
      <c r="C16" s="62">
        <f>[1]STA_SP2_NO!$C$22</f>
        <v>0</v>
      </c>
      <c r="D16" s="68">
        <f>[2]STA_SP2_NO!$C$22</f>
        <v>0</v>
      </c>
      <c r="E16" s="117">
        <f>[3]STA_SP2_NO!$C$22</f>
        <v>0</v>
      </c>
      <c r="F16" s="118">
        <f>[4]STA_SP2_NO!$C$22</f>
        <v>0</v>
      </c>
      <c r="G16" s="383">
        <f>[5]STA_SP2_NO!$C$22</f>
        <v>0</v>
      </c>
      <c r="H16" s="126">
        <f>[6]STA_SP2_NO!$C$22</f>
        <v>0</v>
      </c>
      <c r="I16" s="143">
        <f>[7]STA_SP2_NO!$C$22</f>
        <v>0</v>
      </c>
      <c r="J16" s="126">
        <f>[8]STA_SP2_NO!$C$22</f>
        <v>0</v>
      </c>
      <c r="K16" s="143">
        <f>[9]STA_SP2_NO!$C$22</f>
        <v>0</v>
      </c>
      <c r="L16" s="377">
        <f>[10]STA_SP2_NO!$C$22</f>
        <v>0</v>
      </c>
      <c r="M16" s="384">
        <f>[11]STA_SP2_NO!$C$22</f>
        <v>0</v>
      </c>
      <c r="N16" s="247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62">
        <f>[1]STA_SP2_NO!$C$23</f>
        <v>63</v>
      </c>
      <c r="D17" s="68">
        <f>[2]STA_SP2_NO!$C$23</f>
        <v>0</v>
      </c>
      <c r="E17" s="117">
        <f>[3]STA_SP2_NO!$C$23</f>
        <v>0</v>
      </c>
      <c r="F17" s="118">
        <f>[4]STA_SP2_NO!$C$23</f>
        <v>0</v>
      </c>
      <c r="G17" s="383">
        <f>[5]STA_SP2_NO!$C$23</f>
        <v>22</v>
      </c>
      <c r="H17" s="126">
        <f>[6]STA_SP2_NO!$C$23</f>
        <v>0</v>
      </c>
      <c r="I17" s="143">
        <f>[7]STA_SP2_NO!$C$23</f>
        <v>0</v>
      </c>
      <c r="J17" s="126">
        <f>[8]STA_SP2_NO!$C$23</f>
        <v>0</v>
      </c>
      <c r="K17" s="143">
        <f>[9]STA_SP2_NO!$C$23</f>
        <v>0</v>
      </c>
      <c r="L17" s="377">
        <f>[10]STA_SP2_NO!$C$23</f>
        <v>2</v>
      </c>
      <c r="M17" s="384">
        <f>[11]STA_SP2_NO!$C$23</f>
        <v>0</v>
      </c>
      <c r="N17" s="247">
        <f t="shared" si="0"/>
        <v>87</v>
      </c>
    </row>
    <row r="18" spans="1:14" ht="15.75" thickBot="1" x14ac:dyDescent="0.3">
      <c r="A18" s="36"/>
      <c r="B18" s="37" t="s">
        <v>37</v>
      </c>
      <c r="C18" s="41">
        <f t="shared" ref="C18:F18" si="1">SUM(C5:C17)</f>
        <v>84652</v>
      </c>
      <c r="D18" s="42">
        <f>SUM(D5:D17)</f>
        <v>45269</v>
      </c>
      <c r="E18" s="41">
        <f t="shared" si="1"/>
        <v>27436</v>
      </c>
      <c r="F18" s="39">
        <f t="shared" si="1"/>
        <v>49602</v>
      </c>
      <c r="G18" s="40">
        <f t="shared" ref="G18:N18" si="2">SUM(G5:G17)</f>
        <v>48338</v>
      </c>
      <c r="H18" s="39">
        <f t="shared" si="2"/>
        <v>65549</v>
      </c>
      <c r="I18" s="40">
        <f t="shared" si="2"/>
        <v>104892</v>
      </c>
      <c r="J18" s="39">
        <f t="shared" si="2"/>
        <v>58624</v>
      </c>
      <c r="K18" s="40">
        <f t="shared" si="2"/>
        <v>34156</v>
      </c>
      <c r="L18" s="378">
        <f t="shared" si="2"/>
        <v>72376</v>
      </c>
      <c r="M18" s="331">
        <f t="shared" si="2"/>
        <v>4757</v>
      </c>
      <c r="N18" s="248">
        <f t="shared" si="2"/>
        <v>595651</v>
      </c>
    </row>
    <row r="19" spans="1:14" ht="15.75" thickBot="1" x14ac:dyDescent="0.3">
      <c r="A19" s="1"/>
      <c r="B19" s="1"/>
      <c r="C19" s="1"/>
      <c r="D19" s="1"/>
      <c r="E19" s="1"/>
      <c r="F19" s="1"/>
      <c r="G19" s="339"/>
      <c r="H19" s="1"/>
      <c r="I19" s="339"/>
      <c r="J19" s="1"/>
      <c r="K19" s="339"/>
      <c r="L19" s="1"/>
      <c r="M19" s="339"/>
      <c r="N19" s="1"/>
    </row>
    <row r="20" spans="1:14" ht="15.75" thickBot="1" x14ac:dyDescent="0.3">
      <c r="A20" s="446" t="s">
        <v>53</v>
      </c>
      <c r="B20" s="447"/>
      <c r="C20" s="48">
        <f>C18/N18</f>
        <v>0.14211677643452289</v>
      </c>
      <c r="D20" s="47">
        <f>D18/N18</f>
        <v>7.5999200874337494E-2</v>
      </c>
      <c r="E20" s="48">
        <f>E18/N18</f>
        <v>4.6060528732428892E-2</v>
      </c>
      <c r="F20" s="47">
        <f>F18/N18</f>
        <v>8.3273594772778015E-2</v>
      </c>
      <c r="G20" s="48">
        <f>G18/N18</f>
        <v>8.1151546795019236E-2</v>
      </c>
      <c r="H20" s="47">
        <f>H18/N18</f>
        <v>0.11004598330230286</v>
      </c>
      <c r="I20" s="48">
        <f>I18/N18</f>
        <v>0.17609640544547059</v>
      </c>
      <c r="J20" s="47">
        <f>J18/N18</f>
        <v>9.8420047981116462E-2</v>
      </c>
      <c r="K20" s="48">
        <f>K18/N18</f>
        <v>5.7342302791399659E-2</v>
      </c>
      <c r="L20" s="47">
        <f>L18/N18</f>
        <v>0.12150739275179594</v>
      </c>
      <c r="M20" s="340">
        <f>M18/N18</f>
        <v>7.9862201188279722E-3</v>
      </c>
      <c r="N20" s="249">
        <f>SUM(C20:M20)</f>
        <v>1</v>
      </c>
    </row>
  </sheetData>
  <mergeCells count="17">
    <mergeCell ref="A20:B20"/>
    <mergeCell ref="C1:K1"/>
    <mergeCell ref="A2:A4"/>
    <mergeCell ref="B2:B4"/>
    <mergeCell ref="H3:H4"/>
    <mergeCell ref="I3:I4"/>
    <mergeCell ref="J3:J4"/>
    <mergeCell ref="K3:K4"/>
    <mergeCell ref="N2:N4"/>
    <mergeCell ref="C3:C4"/>
    <mergeCell ref="D3:D4"/>
    <mergeCell ref="E3:E4"/>
    <mergeCell ref="F3:F4"/>
    <mergeCell ref="G3:G4"/>
    <mergeCell ref="L3:L4"/>
    <mergeCell ref="C2:M2"/>
    <mergeCell ref="M3:M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H26" sqref="H26"/>
    </sheetView>
  </sheetViews>
  <sheetFormatPr defaultRowHeight="15" x14ac:dyDescent="0.25"/>
  <cols>
    <col min="1" max="1" width="4.42578125" customWidth="1"/>
    <col min="2" max="2" width="28.28515625" customWidth="1"/>
    <col min="3" max="3" width="9.140625" customWidth="1"/>
  </cols>
  <sheetData>
    <row r="1" spans="1:14" ht="26.25" customHeight="1" thickBot="1" x14ac:dyDescent="0.3">
      <c r="A1" s="120"/>
      <c r="B1" s="26"/>
      <c r="C1" s="458" t="s">
        <v>105</v>
      </c>
      <c r="D1" s="459"/>
      <c r="E1" s="459"/>
      <c r="F1" s="459"/>
      <c r="G1" s="459"/>
      <c r="H1" s="459"/>
      <c r="I1" s="459"/>
      <c r="J1" s="460"/>
      <c r="K1" s="460"/>
      <c r="L1" s="26"/>
      <c r="M1" s="26"/>
      <c r="N1" s="155" t="s">
        <v>52</v>
      </c>
    </row>
    <row r="2" spans="1:14" ht="15.75" thickBot="1" x14ac:dyDescent="0.3">
      <c r="A2" s="461" t="s">
        <v>0</v>
      </c>
      <c r="B2" s="463" t="s">
        <v>1</v>
      </c>
      <c r="C2" s="483" t="s">
        <v>2</v>
      </c>
      <c r="D2" s="484"/>
      <c r="E2" s="484"/>
      <c r="F2" s="484"/>
      <c r="G2" s="484"/>
      <c r="H2" s="484"/>
      <c r="I2" s="484"/>
      <c r="J2" s="484"/>
      <c r="K2" s="484"/>
      <c r="L2" s="484"/>
      <c r="M2" s="485"/>
      <c r="N2" s="488" t="s">
        <v>3</v>
      </c>
    </row>
    <row r="3" spans="1:14" ht="12.75" customHeight="1" x14ac:dyDescent="0.25">
      <c r="A3" s="501"/>
      <c r="B3" s="502"/>
      <c r="C3" s="508" t="s">
        <v>69</v>
      </c>
      <c r="D3" s="502" t="s">
        <v>4</v>
      </c>
      <c r="E3" s="512" t="s">
        <v>5</v>
      </c>
      <c r="F3" s="502" t="s">
        <v>6</v>
      </c>
      <c r="G3" s="495" t="s">
        <v>8</v>
      </c>
      <c r="H3" s="463" t="s">
        <v>94</v>
      </c>
      <c r="I3" s="495" t="s">
        <v>9</v>
      </c>
      <c r="J3" s="519" t="s">
        <v>38</v>
      </c>
      <c r="K3" s="495" t="s">
        <v>93</v>
      </c>
      <c r="L3" s="463" t="s">
        <v>11</v>
      </c>
      <c r="M3" s="514" t="s">
        <v>96</v>
      </c>
      <c r="N3" s="489"/>
    </row>
    <row r="4" spans="1:14" ht="9" customHeight="1" x14ac:dyDescent="0.25">
      <c r="A4" s="517"/>
      <c r="B4" s="511"/>
      <c r="C4" s="509"/>
      <c r="D4" s="511"/>
      <c r="E4" s="513"/>
      <c r="F4" s="511"/>
      <c r="G4" s="512"/>
      <c r="H4" s="502"/>
      <c r="I4" s="512"/>
      <c r="J4" s="520"/>
      <c r="K4" s="512"/>
      <c r="L4" s="502"/>
      <c r="M4" s="515"/>
      <c r="N4" s="507"/>
    </row>
    <row r="5" spans="1:14" ht="5.25" customHeight="1" thickBot="1" x14ac:dyDescent="0.3">
      <c r="A5" s="496"/>
      <c r="B5" s="503"/>
      <c r="C5" s="510"/>
      <c r="D5" s="496"/>
      <c r="E5" s="496"/>
      <c r="F5" s="496"/>
      <c r="G5" s="504"/>
      <c r="H5" s="464"/>
      <c r="I5" s="504"/>
      <c r="J5" s="521"/>
      <c r="K5" s="504"/>
      <c r="L5" s="464"/>
      <c r="M5" s="516"/>
      <c r="N5" s="490"/>
    </row>
    <row r="6" spans="1:14" ht="15.75" thickBot="1" x14ac:dyDescent="0.3">
      <c r="A6" s="30">
        <v>1</v>
      </c>
      <c r="B6" s="31" t="s">
        <v>39</v>
      </c>
      <c r="C6" s="61">
        <f>[1]STA_SP2_NO!$D$11</f>
        <v>367044.28</v>
      </c>
      <c r="D6" s="68">
        <f>[2]STA_SP2_NO!$D$11</f>
        <v>192773.9</v>
      </c>
      <c r="E6" s="117">
        <f>[3]STA_SP2_NO!$D$11</f>
        <v>127870</v>
      </c>
      <c r="F6" s="126">
        <f>[4]STA_SP2_NO!$D$11</f>
        <v>222462.36</v>
      </c>
      <c r="G6" s="117">
        <f>[5]STA_SP2_NO!$D$11</f>
        <v>210880</v>
      </c>
      <c r="H6" s="126">
        <f>[6]STA_SP2_NO!$D$11</f>
        <v>302955.57</v>
      </c>
      <c r="I6" s="117">
        <f>[7]STA_SP2_NO!$D$11</f>
        <v>491166</v>
      </c>
      <c r="J6" s="68">
        <f>[8]STA_SP2_NO!$D$11</f>
        <v>253825</v>
      </c>
      <c r="K6" s="62">
        <f>[9]STA_SP2_NO!$D$11</f>
        <v>156852.32999999999</v>
      </c>
      <c r="L6" s="68">
        <f>[10]STA_SP2_NO!$D$11</f>
        <v>319363</v>
      </c>
      <c r="M6" s="330">
        <f>[11]STA_SP2_NO!$D$11</f>
        <v>22989.51</v>
      </c>
      <c r="N6" s="247">
        <f t="shared" ref="N6:N18" si="0">SUM(C6:M6)</f>
        <v>2668181.9500000002</v>
      </c>
    </row>
    <row r="7" spans="1:14" ht="15.75" thickBot="1" x14ac:dyDescent="0.3">
      <c r="A7" s="32">
        <v>2</v>
      </c>
      <c r="B7" s="33" t="s">
        <v>40</v>
      </c>
      <c r="C7" s="61">
        <f>[1]STA_SP2_NO!$D$12</f>
        <v>86225.55</v>
      </c>
      <c r="D7" s="68">
        <f>[2]STA_SP2_NO!$D$12</f>
        <v>48971.02</v>
      </c>
      <c r="E7" s="117">
        <f>[3]STA_SP2_NO!$D$12</f>
        <v>26980</v>
      </c>
      <c r="F7" s="126">
        <f>[4]STA_SP2_NO!$D$12</f>
        <v>60556.68</v>
      </c>
      <c r="G7" s="117">
        <f>[5]STA_SP2_NO!$D$12</f>
        <v>40493</v>
      </c>
      <c r="H7" s="126">
        <f>[6]STA_SP2_NO!$D$12</f>
        <v>45565.61</v>
      </c>
      <c r="I7" s="117">
        <f>[7]STA_SP2_NO!$D$12</f>
        <v>98451</v>
      </c>
      <c r="J7" s="68">
        <f>[8]STA_SP2_NO!$D$12</f>
        <v>51451</v>
      </c>
      <c r="K7" s="62">
        <f>[9]STA_SP2_NO!$D$12</f>
        <v>37137.99</v>
      </c>
      <c r="L7" s="68">
        <f>[10]STA_SP2_NO!$D$12</f>
        <v>47778</v>
      </c>
      <c r="M7" s="330">
        <f>[11]STA_SP2_NO!$D$12</f>
        <v>3798.51</v>
      </c>
      <c r="N7" s="247">
        <f t="shared" si="0"/>
        <v>547408.36</v>
      </c>
    </row>
    <row r="8" spans="1:14" ht="15.75" thickBot="1" x14ac:dyDescent="0.3">
      <c r="A8" s="32">
        <v>3</v>
      </c>
      <c r="B8" s="33" t="s">
        <v>41</v>
      </c>
      <c r="C8" s="61">
        <f>[1]STA_SP2_NO!$D$13</f>
        <v>13718.78</v>
      </c>
      <c r="D8" s="68">
        <f>[2]STA_SP2_NO!$D$13</f>
        <v>5090.26</v>
      </c>
      <c r="E8" s="117">
        <f>[3]STA_SP2_NO!$D$13</f>
        <v>3305</v>
      </c>
      <c r="F8" s="126">
        <f>[4]STA_SP2_NO!$D$13</f>
        <v>6378.48</v>
      </c>
      <c r="G8" s="117">
        <f>[5]STA_SP2_NO!$D$13</f>
        <v>4229</v>
      </c>
      <c r="H8" s="126">
        <f>[6]STA_SP2_NO!$D$13</f>
        <v>4246.5200000000004</v>
      </c>
      <c r="I8" s="117">
        <f>[7]STA_SP2_NO!$D$13</f>
        <v>11849</v>
      </c>
      <c r="J8" s="68">
        <f>[8]STA_SP2_NO!$D$13</f>
        <v>8120</v>
      </c>
      <c r="K8" s="62">
        <f>[9]STA_SP2_NO!$D$13</f>
        <v>3606.8</v>
      </c>
      <c r="L8" s="68">
        <f>[10]STA_SP2_NO!$D$13</f>
        <v>3166</v>
      </c>
      <c r="M8" s="330">
        <f>[11]STA_SP2_NO!$D$13</f>
        <v>229.25</v>
      </c>
      <c r="N8" s="247">
        <f t="shared" si="0"/>
        <v>63939.090000000004</v>
      </c>
    </row>
    <row r="9" spans="1:14" ht="15.75" thickBot="1" x14ac:dyDescent="0.3">
      <c r="A9" s="32">
        <v>4</v>
      </c>
      <c r="B9" s="33" t="s">
        <v>42</v>
      </c>
      <c r="C9" s="61">
        <f>[1]STA_SP2_NO!$D$14</f>
        <v>921.78</v>
      </c>
      <c r="D9" s="68">
        <f>[2]STA_SP2_NO!$D$14</f>
        <v>594.97</v>
      </c>
      <c r="E9" s="117">
        <f>[3]STA_SP2_NO!$D$14</f>
        <v>138</v>
      </c>
      <c r="F9" s="126">
        <f>[4]STA_SP2_NO!$D$14</f>
        <v>411.58</v>
      </c>
      <c r="G9" s="117">
        <f>[5]STA_SP2_NO!$D$14</f>
        <v>273</v>
      </c>
      <c r="H9" s="126">
        <f>[6]STA_SP2_NO!$D$14</f>
        <v>583.47</v>
      </c>
      <c r="I9" s="117">
        <f>[7]STA_SP2_NO!$D$14</f>
        <v>772</v>
      </c>
      <c r="J9" s="68">
        <f>[8]STA_SP2_NO!$D$14</f>
        <v>717</v>
      </c>
      <c r="K9" s="62">
        <f>[9]STA_SP2_NO!$D$14</f>
        <v>364.05</v>
      </c>
      <c r="L9" s="68">
        <f>[10]STA_SP2_NO!$D$14</f>
        <v>888</v>
      </c>
      <c r="M9" s="330">
        <f>[11]STA_SP2_NO!$D$14</f>
        <v>54.71</v>
      </c>
      <c r="N9" s="247">
        <f t="shared" si="0"/>
        <v>5718.56</v>
      </c>
    </row>
    <row r="10" spans="1:14" ht="15.75" thickBot="1" x14ac:dyDescent="0.3">
      <c r="A10" s="32">
        <v>5</v>
      </c>
      <c r="B10" s="33" t="s">
        <v>43</v>
      </c>
      <c r="C10" s="61">
        <f>[1]STA_SP2_NO!$D$15</f>
        <v>350.14</v>
      </c>
      <c r="D10" s="68">
        <f>[2]STA_SP2_NO!$D$15</f>
        <v>94.51</v>
      </c>
      <c r="E10" s="117">
        <f>[3]STA_SP2_NO!$D$15</f>
        <v>199</v>
      </c>
      <c r="F10" s="126">
        <f>[4]STA_SP2_NO!$D$15</f>
        <v>132.31</v>
      </c>
      <c r="G10" s="117">
        <f>[5]STA_SP2_NO!$D$15</f>
        <v>91</v>
      </c>
      <c r="H10" s="126">
        <f>[6]STA_SP2_NO!$D$15</f>
        <v>933.8</v>
      </c>
      <c r="I10" s="117">
        <f>[7]STA_SP2_NO!$D$15</f>
        <v>233</v>
      </c>
      <c r="J10" s="68">
        <f>[8]STA_SP2_NO!$D$15</f>
        <v>812</v>
      </c>
      <c r="K10" s="62">
        <f>[9]STA_SP2_NO!$D$15</f>
        <v>76.459999999999994</v>
      </c>
      <c r="L10" s="68">
        <f>[10]STA_SP2_NO!$D$15</f>
        <v>140</v>
      </c>
      <c r="M10" s="330">
        <f>[11]STA_SP2_NO!$D$15</f>
        <v>4.24</v>
      </c>
      <c r="N10" s="247">
        <f t="shared" si="0"/>
        <v>3066.46</v>
      </c>
    </row>
    <row r="11" spans="1:14" ht="15.75" thickBot="1" x14ac:dyDescent="0.3">
      <c r="A11" s="32">
        <v>6</v>
      </c>
      <c r="B11" s="33" t="s">
        <v>44</v>
      </c>
      <c r="C11" s="61">
        <f>[1]STA_SP2_NO!$D$16</f>
        <v>10941.49</v>
      </c>
      <c r="D11" s="68">
        <f>[2]STA_SP2_NO!$D$16</f>
        <v>6192.32</v>
      </c>
      <c r="E11" s="117">
        <f>[3]STA_SP2_NO!$D$16</f>
        <v>3194</v>
      </c>
      <c r="F11" s="126">
        <f>[4]STA_SP2_NO!$D$16</f>
        <v>10408.82</v>
      </c>
      <c r="G11" s="117">
        <f>[5]STA_SP2_NO!$D$16</f>
        <v>5123</v>
      </c>
      <c r="H11" s="126">
        <f>[6]STA_SP2_NO!$D$16</f>
        <v>9987.74</v>
      </c>
      <c r="I11" s="117">
        <f>[7]STA_SP2_NO!$D$16</f>
        <v>13247</v>
      </c>
      <c r="J11" s="68">
        <f>[8]STA_SP2_NO!$D$16</f>
        <v>7738</v>
      </c>
      <c r="K11" s="62">
        <f>[9]STA_SP2_NO!$D$16</f>
        <v>3895.56</v>
      </c>
      <c r="L11" s="68">
        <f>[10]STA_SP2_NO!$D$16</f>
        <v>13399</v>
      </c>
      <c r="M11" s="330">
        <f>[11]STA_SP2_NO!$D$16</f>
        <v>156.12</v>
      </c>
      <c r="N11" s="247">
        <f t="shared" si="0"/>
        <v>84283.049999999988</v>
      </c>
    </row>
    <row r="12" spans="1:14" ht="15.75" thickBot="1" x14ac:dyDescent="0.3">
      <c r="A12" s="32">
        <v>7</v>
      </c>
      <c r="B12" s="33" t="s">
        <v>45</v>
      </c>
      <c r="C12" s="61">
        <f>[1]STA_SP2_NO!$D$17</f>
        <v>551.89</v>
      </c>
      <c r="D12" s="68">
        <f>[2]STA_SP2_NO!$D$17</f>
        <v>428.01</v>
      </c>
      <c r="E12" s="117">
        <f>[3]STA_SP2_NO!$D$17</f>
        <v>181</v>
      </c>
      <c r="F12" s="126">
        <f>[4]STA_SP2_NO!$D$17</f>
        <v>428.54</v>
      </c>
      <c r="G12" s="117">
        <f>[5]STA_SP2_NO!$D$17</f>
        <v>221</v>
      </c>
      <c r="H12" s="126">
        <f>[6]STA_SP2_NO!$D$17</f>
        <v>323.3</v>
      </c>
      <c r="I12" s="117">
        <f>[7]STA_SP2_NO!$D$17</f>
        <v>573</v>
      </c>
      <c r="J12" s="68">
        <f>[8]STA_SP2_NO!$D$17</f>
        <v>444</v>
      </c>
      <c r="K12" s="62">
        <f>[9]STA_SP2_NO!$D$17</f>
        <v>243.52</v>
      </c>
      <c r="L12" s="68">
        <f>[10]STA_SP2_NO!$D$17</f>
        <v>358</v>
      </c>
      <c r="M12" s="330">
        <f>[11]STA_SP2_NO!$D$17</f>
        <v>25.81</v>
      </c>
      <c r="N12" s="247">
        <f t="shared" si="0"/>
        <v>3778.07</v>
      </c>
    </row>
    <row r="13" spans="1:14" ht="15.75" thickBot="1" x14ac:dyDescent="0.3">
      <c r="A13" s="32">
        <v>8</v>
      </c>
      <c r="B13" s="33" t="s">
        <v>46</v>
      </c>
      <c r="C13" s="61">
        <f>[1]STA_SP2_NO!$D$18</f>
        <v>1216.07</v>
      </c>
      <c r="D13" s="68">
        <f>[2]STA_SP2_NO!$D$18</f>
        <v>382.5</v>
      </c>
      <c r="E13" s="117">
        <f>[3]STA_SP2_NO!$D$18</f>
        <v>453</v>
      </c>
      <c r="F13" s="126">
        <f>[4]STA_SP2_NO!$D$18</f>
        <v>501.86</v>
      </c>
      <c r="G13" s="117">
        <f>[5]STA_SP2_NO!$D$18</f>
        <v>513</v>
      </c>
      <c r="H13" s="126">
        <f>[6]STA_SP2_NO!$D$18</f>
        <v>0</v>
      </c>
      <c r="I13" s="117">
        <f>[7]STA_SP2_NO!$D$18</f>
        <v>1148</v>
      </c>
      <c r="J13" s="68">
        <f>[8]STA_SP2_NO!$D$18</f>
        <v>1315</v>
      </c>
      <c r="K13" s="62">
        <f>[9]STA_SP2_NO!$D$18</f>
        <v>306.27999999999997</v>
      </c>
      <c r="L13" s="68">
        <f>[10]STA_SP2_NO!$D$18</f>
        <v>536</v>
      </c>
      <c r="M13" s="330">
        <f>[11]STA_SP2_NO!$D$18</f>
        <v>30.52</v>
      </c>
      <c r="N13" s="247">
        <f t="shared" si="0"/>
        <v>6402.2300000000005</v>
      </c>
    </row>
    <row r="14" spans="1:14" ht="23.25" thickBot="1" x14ac:dyDescent="0.3">
      <c r="A14" s="32">
        <v>9</v>
      </c>
      <c r="B14" s="53" t="s">
        <v>47</v>
      </c>
      <c r="C14" s="61">
        <f>[1]STA_SP2_NO!$D$19</f>
        <v>0</v>
      </c>
      <c r="D14" s="68">
        <f>[2]STA_SP2_NO!$D$19</f>
        <v>0</v>
      </c>
      <c r="E14" s="117">
        <f>[3]STA_SP2_NO!$D$19</f>
        <v>0</v>
      </c>
      <c r="F14" s="126">
        <f>[4]STA_SP2_NO!$D$19</f>
        <v>0</v>
      </c>
      <c r="G14" s="117">
        <f>[5]STA_SP2_NO!$D$19</f>
        <v>0</v>
      </c>
      <c r="H14" s="126">
        <f>[6]STA_SP2_NO!$D$19</f>
        <v>0</v>
      </c>
      <c r="I14" s="117">
        <f>[7]STA_SP2_NO!$D$19</f>
        <v>0</v>
      </c>
      <c r="J14" s="68">
        <f>[8]STA_SP2_NO!$D$19</f>
        <v>0</v>
      </c>
      <c r="K14" s="62">
        <f>[9]STA_SP2_NO!$D$19</f>
        <v>0</v>
      </c>
      <c r="L14" s="68">
        <f>[10]STA_SP2_NO!$D$19</f>
        <v>0</v>
      </c>
      <c r="M14" s="330">
        <f>[11]STA_SP2_NO!$D$19</f>
        <v>0</v>
      </c>
      <c r="N14" s="247">
        <f t="shared" si="0"/>
        <v>0</v>
      </c>
    </row>
    <row r="15" spans="1:14" ht="23.25" thickBot="1" x14ac:dyDescent="0.3">
      <c r="A15" s="32">
        <v>10</v>
      </c>
      <c r="B15" s="53" t="s">
        <v>48</v>
      </c>
      <c r="C15" s="61">
        <f>[1]STA_SP2_NO!$D$20</f>
        <v>0</v>
      </c>
      <c r="D15" s="68">
        <f>[2]STA_SP2_NO!$D$20</f>
        <v>0</v>
      </c>
      <c r="E15" s="117">
        <f>[3]STA_SP2_NO!$D$20</f>
        <v>0</v>
      </c>
      <c r="F15" s="126">
        <f>[4]STA_SP2_NO!$D$20</f>
        <v>0</v>
      </c>
      <c r="G15" s="117">
        <f>[5]STA_SP2_NO!$D$20</f>
        <v>0</v>
      </c>
      <c r="H15" s="126">
        <f>[6]STA_SP2_NO!$D$20</f>
        <v>0</v>
      </c>
      <c r="I15" s="117">
        <f>[7]STA_SP2_NO!$D$20</f>
        <v>0</v>
      </c>
      <c r="J15" s="68">
        <f>[8]STA_SP2_NO!$D$20</f>
        <v>0</v>
      </c>
      <c r="K15" s="62">
        <f>[9]STA_SP2_NO!$D$20</f>
        <v>0</v>
      </c>
      <c r="L15" s="68">
        <f>[10]STA_SP2_NO!$D$20</f>
        <v>0</v>
      </c>
      <c r="M15" s="330">
        <f>[11]STA_SP2_NO!$D$20</f>
        <v>0</v>
      </c>
      <c r="N15" s="247">
        <f t="shared" si="0"/>
        <v>0</v>
      </c>
    </row>
    <row r="16" spans="1:14" ht="15.75" thickBot="1" x14ac:dyDescent="0.3">
      <c r="A16" s="32">
        <v>11</v>
      </c>
      <c r="B16" s="33" t="s">
        <v>49</v>
      </c>
      <c r="C16" s="61">
        <f>[1]STA_SP2_NO!$D$21</f>
        <v>0</v>
      </c>
      <c r="D16" s="68">
        <f>[2]STA_SP2_NO!$D$21</f>
        <v>0</v>
      </c>
      <c r="E16" s="117">
        <f>[3]STA_SP2_NO!$D$21</f>
        <v>0</v>
      </c>
      <c r="F16" s="126">
        <f>[4]STA_SP2_NO!$D$21</f>
        <v>0</v>
      </c>
      <c r="G16" s="117">
        <f>[5]STA_SP2_NO!$D$21</f>
        <v>583</v>
      </c>
      <c r="H16" s="126">
        <f>[6]STA_SP2_NO!$D$21</f>
        <v>0</v>
      </c>
      <c r="I16" s="117">
        <f>[7]STA_SP2_NO!$D$21</f>
        <v>0</v>
      </c>
      <c r="J16" s="68">
        <f>[8]STA_SP2_NO!$D$21</f>
        <v>0</v>
      </c>
      <c r="K16" s="62">
        <f>[9]STA_SP2_NO!$D$21</f>
        <v>0</v>
      </c>
      <c r="L16" s="68">
        <f>[10]STA_SP2_NO!$D$21</f>
        <v>0</v>
      </c>
      <c r="M16" s="330">
        <f>[11]STA_SP2_NO!$D$21</f>
        <v>38.659999999999997</v>
      </c>
      <c r="N16" s="247">
        <f t="shared" si="0"/>
        <v>621.66</v>
      </c>
    </row>
    <row r="17" spans="1:14" ht="45.75" thickBot="1" x14ac:dyDescent="0.3">
      <c r="A17" s="32">
        <v>12</v>
      </c>
      <c r="B17" s="53" t="s">
        <v>50</v>
      </c>
      <c r="C17" s="61">
        <f>[1]STA_SP2_NO!$D$22</f>
        <v>0</v>
      </c>
      <c r="D17" s="68">
        <f>[2]STA_SP2_NO!$D$22</f>
        <v>0</v>
      </c>
      <c r="E17" s="117">
        <f>[3]STA_SP2_NO!$D$22</f>
        <v>0</v>
      </c>
      <c r="F17" s="126">
        <f>[4]STA_SP2_NO!$D$22</f>
        <v>0</v>
      </c>
      <c r="G17" s="117">
        <f>[5]STA_SP2_NO!$D$22</f>
        <v>0</v>
      </c>
      <c r="H17" s="126">
        <f>[6]STA_SP2_NO!$D$22</f>
        <v>0</v>
      </c>
      <c r="I17" s="117">
        <f>[7]STA_SP2_NO!$D$22</f>
        <v>0</v>
      </c>
      <c r="J17" s="68">
        <f>[8]STA_SP2_NO!$D$22</f>
        <v>0</v>
      </c>
      <c r="K17" s="62">
        <f>[9]STA_SP2_NO!$D$22</f>
        <v>0</v>
      </c>
      <c r="L17" s="68">
        <f>[10]STA_SP2_NO!$D$22</f>
        <v>0</v>
      </c>
      <c r="M17" s="384">
        <f>[11]STA_SP2_NO!$D$22</f>
        <v>0</v>
      </c>
      <c r="N17" s="247">
        <f t="shared" si="0"/>
        <v>0</v>
      </c>
    </row>
    <row r="18" spans="1:14" ht="34.5" thickBot="1" x14ac:dyDescent="0.3">
      <c r="A18" s="32">
        <v>13</v>
      </c>
      <c r="B18" s="53" t="s">
        <v>51</v>
      </c>
      <c r="C18" s="61">
        <f>[1]STA_SP2_NO!$D$23</f>
        <v>281.77</v>
      </c>
      <c r="D18" s="68">
        <f>[2]STA_SP2_NO!$D$23</f>
        <v>0</v>
      </c>
      <c r="E18" s="117">
        <f>[3]STA_SP2_NO!$D$23</f>
        <v>0</v>
      </c>
      <c r="F18" s="126">
        <f>[4]STA_SP2_NO!$D$23</f>
        <v>0</v>
      </c>
      <c r="G18" s="117">
        <f>[5]STA_SP2_NO!$D$23</f>
        <v>159</v>
      </c>
      <c r="H18" s="126">
        <f>[6]STA_SP2_NO!$D$23</f>
        <v>0</v>
      </c>
      <c r="I18" s="117">
        <f>[7]STA_SP2_NO!$D$23</f>
        <v>0</v>
      </c>
      <c r="J18" s="68">
        <f>[8]STA_SP2_NO!$D$23</f>
        <v>0</v>
      </c>
      <c r="K18" s="62">
        <f>[9]STA_SP2_NO!$D$23</f>
        <v>0</v>
      </c>
      <c r="L18" s="68">
        <f>[10]STA_SP2_NO!$D$23</f>
        <v>8</v>
      </c>
      <c r="M18" s="384">
        <f>[11]STA_SP2_NO!$D$23</f>
        <v>0</v>
      </c>
      <c r="N18" s="247">
        <f t="shared" si="0"/>
        <v>448.77</v>
      </c>
    </row>
    <row r="19" spans="1:14" ht="15.75" thickBot="1" x14ac:dyDescent="0.3">
      <c r="A19" s="36"/>
      <c r="B19" s="37" t="s">
        <v>37</v>
      </c>
      <c r="C19" s="41">
        <f t="shared" ref="C19:E19" si="1">SUM(C6:C18)</f>
        <v>481251.75000000012</v>
      </c>
      <c r="D19" s="42">
        <f>SUM(D6:D18)</f>
        <v>254527.49000000002</v>
      </c>
      <c r="E19" s="41">
        <f t="shared" si="1"/>
        <v>162320</v>
      </c>
      <c r="F19" s="39">
        <f t="shared" ref="F19:N19" si="2">SUM(F6:F18)</f>
        <v>301280.62999999995</v>
      </c>
      <c r="G19" s="41">
        <f t="shared" si="2"/>
        <v>262565</v>
      </c>
      <c r="H19" s="42">
        <f t="shared" si="2"/>
        <v>364596.00999999995</v>
      </c>
      <c r="I19" s="41">
        <f t="shared" si="2"/>
        <v>617439</v>
      </c>
      <c r="J19" s="42">
        <f t="shared" si="2"/>
        <v>324422</v>
      </c>
      <c r="K19" s="41">
        <f t="shared" si="2"/>
        <v>202482.98999999993</v>
      </c>
      <c r="L19" s="42">
        <f t="shared" si="2"/>
        <v>385636</v>
      </c>
      <c r="M19" s="331">
        <f t="shared" si="2"/>
        <v>27327.329999999998</v>
      </c>
      <c r="N19" s="248">
        <f t="shared" si="2"/>
        <v>3383848.1999999997</v>
      </c>
    </row>
    <row r="20" spans="1:14" ht="15.75" thickBot="1" x14ac:dyDescent="0.3">
      <c r="A20" s="1"/>
      <c r="B20" s="1"/>
      <c r="C20" s="1"/>
      <c r="D20" s="1"/>
      <c r="E20" s="1"/>
      <c r="F20" s="1"/>
      <c r="G20" s="339"/>
      <c r="H20" s="1"/>
      <c r="I20" s="339"/>
      <c r="J20" s="1"/>
      <c r="K20" s="339"/>
      <c r="L20" s="1"/>
      <c r="M20" s="339"/>
      <c r="N20" s="1"/>
    </row>
    <row r="21" spans="1:14" ht="15.75" thickBot="1" x14ac:dyDescent="0.3">
      <c r="A21" s="446" t="s">
        <v>53</v>
      </c>
      <c r="B21" s="518"/>
      <c r="C21" s="55">
        <f>C19/N19</f>
        <v>0.14222025385181289</v>
      </c>
      <c r="D21" s="56">
        <f>D19/N19</f>
        <v>7.5218353471057015E-2</v>
      </c>
      <c r="E21" s="48">
        <f>E19/N19</f>
        <v>4.7969054876634248E-2</v>
      </c>
      <c r="F21" s="47">
        <f>F19/N19</f>
        <v>8.9034912972750957E-2</v>
      </c>
      <c r="G21" s="70">
        <f>G19/N19</f>
        <v>7.759361072993759E-2</v>
      </c>
      <c r="H21" s="47">
        <f>H19/N19</f>
        <v>0.10774597099243399</v>
      </c>
      <c r="I21" s="70">
        <f>I19/N19</f>
        <v>0.1824665184448877</v>
      </c>
      <c r="J21" s="47">
        <f>J19/N19</f>
        <v>9.5873686059557886E-2</v>
      </c>
      <c r="K21" s="70">
        <f>K19/N19</f>
        <v>5.983808316224113E-2</v>
      </c>
      <c r="L21" s="47">
        <f>L19/N19</f>
        <v>0.11396374104488494</v>
      </c>
      <c r="M21" s="340">
        <f>M19/N19</f>
        <v>8.0758143938017071E-3</v>
      </c>
      <c r="N21" s="256">
        <f>SUM(C21:M21)</f>
        <v>1.0000000000000002</v>
      </c>
    </row>
  </sheetData>
  <mergeCells count="17">
    <mergeCell ref="C1:K1"/>
    <mergeCell ref="A2:A5"/>
    <mergeCell ref="B2:B5"/>
    <mergeCell ref="A21:B21"/>
    <mergeCell ref="H3:H5"/>
    <mergeCell ref="I3:I5"/>
    <mergeCell ref="J3:J5"/>
    <mergeCell ref="K3:K5"/>
    <mergeCell ref="N2:N5"/>
    <mergeCell ref="C3:C5"/>
    <mergeCell ref="D3:D5"/>
    <mergeCell ref="E3:E5"/>
    <mergeCell ref="F3:F5"/>
    <mergeCell ref="G3:G5"/>
    <mergeCell ref="L3:L5"/>
    <mergeCell ref="C2:M2"/>
    <mergeCell ref="M3:M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Премија</vt:lpstr>
      <vt:lpstr>Број на склучени договори</vt:lpstr>
      <vt:lpstr>Ликвидирани штети</vt:lpstr>
      <vt:lpstr>Број на ликвидирани штети</vt:lpstr>
      <vt:lpstr>Број на резервирани штети</vt:lpstr>
      <vt:lpstr>Резервации</vt:lpstr>
      <vt:lpstr>Не пријавени штети</vt:lpstr>
      <vt:lpstr>ЗАО договори</vt:lpstr>
      <vt:lpstr>ЗАО Премија</vt:lpstr>
      <vt:lpstr>ЗК Број Премија</vt:lpstr>
      <vt:lpstr>ГР Број и Премија </vt:lpstr>
      <vt:lpstr>ЗАО број Лик штети</vt:lpstr>
      <vt:lpstr>ЗАО Ликвидирани штети</vt:lpstr>
      <vt:lpstr>ЗК број и штети</vt:lpstr>
      <vt:lpstr>ГР Број Штети</vt:lpstr>
      <vt:lpstr>Техничка премија</vt:lpstr>
      <vt:lpstr>Рез за настанати при штети</vt:lpstr>
      <vt:lpstr>Продажба по канали</vt:lpstr>
      <vt:lpstr>Бруто тех</vt:lpstr>
      <vt:lpstr>Вкупно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BetiMitrovska</dc:creator>
  <cp:lastModifiedBy>Viktorija</cp:lastModifiedBy>
  <cp:lastPrinted>2025-08-08T14:04:01Z</cp:lastPrinted>
  <dcterms:created xsi:type="dcterms:W3CDTF">2013-08-27T07:05:34Z</dcterms:created>
  <dcterms:modified xsi:type="dcterms:W3CDTF">2025-12-04T08:23:12Z</dcterms:modified>
</cp:coreProperties>
</file>