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955" windowWidth="20115" windowHeight="1185" firstSheet="13" activeTab="17"/>
  </bookViews>
  <sheets>
    <sheet name="Премија" sheetId="1" r:id="rId1"/>
    <sheet name="Број на склучени договори" sheetId="2" r:id="rId2"/>
    <sheet name="Ликвидирани штети" sheetId="3" r:id="rId3"/>
    <sheet name="Број на ликвидирани штети" sheetId="4" r:id="rId4"/>
    <sheet name="Број на резервирани штети" sheetId="5" r:id="rId5"/>
    <sheet name="Резервации" sheetId="6" r:id="rId6"/>
    <sheet name="Не пријавени штети" sheetId="58" r:id="rId7"/>
    <sheet name="ЗАО договори" sheetId="8" r:id="rId8"/>
    <sheet name="ЗАО Премија" sheetId="9" r:id="rId9"/>
    <sheet name="ЗК Број Премија" sheetId="12" r:id="rId10"/>
    <sheet name="ГР Број и Премија " sheetId="53" r:id="rId11"/>
    <sheet name="ЗАО број Лик штети" sheetId="32" r:id="rId12"/>
    <sheet name="ЗАО Ликвидирани штети" sheetId="31" r:id="rId13"/>
    <sheet name="ЗК број и штети" sheetId="30" r:id="rId14"/>
    <sheet name="ГР Број Штети" sheetId="29" r:id="rId15"/>
    <sheet name="Техничка премија" sheetId="10" r:id="rId16"/>
    <sheet name="Рез за настанати при штети" sheetId="17" r:id="rId17"/>
    <sheet name="Продажба по канали" sheetId="34" r:id="rId18"/>
    <sheet name="Бруто тех" sheetId="47" r:id="rId19"/>
    <sheet name="Вкупно" sheetId="5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45621"/>
</workbook>
</file>

<file path=xl/calcChain.xml><?xml version="1.0" encoding="utf-8"?>
<calcChain xmlns="http://schemas.openxmlformats.org/spreadsheetml/2006/main">
  <c r="J15" i="47" l="1"/>
  <c r="F15" i="47"/>
  <c r="E15" i="47"/>
  <c r="D15" i="47"/>
  <c r="C15" i="47"/>
  <c r="K7" i="17"/>
  <c r="K6" i="17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28" i="29"/>
  <c r="K27" i="29"/>
  <c r="K26" i="29"/>
  <c r="K25" i="29"/>
  <c r="K24" i="29"/>
  <c r="K23" i="29"/>
  <c r="K22" i="29"/>
  <c r="K21" i="29"/>
  <c r="K12" i="29"/>
  <c r="K11" i="29"/>
  <c r="K10" i="29"/>
  <c r="K9" i="29"/>
  <c r="K8" i="29"/>
  <c r="K7" i="29"/>
  <c r="K6" i="29"/>
  <c r="K5" i="29"/>
  <c r="K29" i="30"/>
  <c r="K28" i="30"/>
  <c r="K27" i="30"/>
  <c r="K26" i="30"/>
  <c r="K25" i="30"/>
  <c r="K24" i="30"/>
  <c r="K23" i="30"/>
  <c r="K22" i="30"/>
  <c r="K12" i="30"/>
  <c r="K11" i="30"/>
  <c r="K10" i="30"/>
  <c r="K9" i="30"/>
  <c r="K8" i="30"/>
  <c r="K7" i="30"/>
  <c r="K6" i="30"/>
  <c r="K5" i="30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28" i="53"/>
  <c r="K27" i="53"/>
  <c r="K26" i="53"/>
  <c r="K25" i="53"/>
  <c r="K24" i="53"/>
  <c r="K23" i="53"/>
  <c r="K22" i="53"/>
  <c r="K21" i="53"/>
  <c r="K12" i="53"/>
  <c r="K11" i="53"/>
  <c r="K10" i="53"/>
  <c r="K9" i="53"/>
  <c r="K8" i="53"/>
  <c r="K7" i="53"/>
  <c r="K6" i="53"/>
  <c r="K5" i="53"/>
  <c r="K29" i="12"/>
  <c r="K28" i="12"/>
  <c r="K27" i="12"/>
  <c r="K26" i="12"/>
  <c r="K25" i="12"/>
  <c r="K24" i="12"/>
  <c r="K23" i="12"/>
  <c r="K22" i="12"/>
  <c r="K12" i="12"/>
  <c r="K11" i="12"/>
  <c r="K10" i="12"/>
  <c r="K9" i="12"/>
  <c r="K8" i="12"/>
  <c r="K7" i="12"/>
  <c r="K6" i="12"/>
  <c r="K5" i="12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K7" i="58"/>
  <c r="K6" i="58"/>
  <c r="K5" i="58"/>
  <c r="K4" i="58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1" i="3"/>
  <c r="K20" i="3"/>
  <c r="K19" i="3"/>
  <c r="K18" i="3"/>
  <c r="K21" i="2"/>
  <c r="K20" i="2"/>
  <c r="K19" i="2"/>
  <c r="K18" i="2"/>
  <c r="K18" i="1"/>
  <c r="K19" i="1"/>
  <c r="K21" i="1"/>
  <c r="K20" i="1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2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G15" i="47" l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4" i="34"/>
  <c r="J33" i="34"/>
  <c r="J32" i="34"/>
  <c r="J30" i="34"/>
  <c r="J29" i="34"/>
  <c r="J28" i="34"/>
  <c r="J26" i="34"/>
  <c r="J25" i="34"/>
  <c r="J24" i="34"/>
  <c r="J22" i="34"/>
  <c r="J21" i="34"/>
  <c r="J20" i="34"/>
  <c r="J18" i="34"/>
  <c r="J17" i="34"/>
  <c r="J16" i="34"/>
  <c r="J14" i="34"/>
  <c r="J13" i="34"/>
  <c r="J12" i="34"/>
  <c r="J10" i="34"/>
  <c r="J9" i="34"/>
  <c r="J8" i="34"/>
  <c r="J6" i="34"/>
  <c r="J5" i="34"/>
  <c r="J4" i="34"/>
  <c r="G6" i="34" l="1"/>
  <c r="G5" i="31"/>
  <c r="H5" i="31"/>
  <c r="I5" i="31"/>
  <c r="J5" i="31"/>
  <c r="L5" i="31"/>
  <c r="G6" i="31"/>
  <c r="H6" i="31"/>
  <c r="I6" i="31"/>
  <c r="J6" i="31"/>
  <c r="L6" i="31"/>
  <c r="G7" i="31"/>
  <c r="H7" i="31"/>
  <c r="I7" i="31"/>
  <c r="J7" i="31"/>
  <c r="L7" i="31"/>
  <c r="G8" i="31"/>
  <c r="H8" i="31"/>
  <c r="I8" i="31"/>
  <c r="J8" i="31"/>
  <c r="L8" i="31"/>
  <c r="G9" i="31"/>
  <c r="H9" i="31"/>
  <c r="I9" i="31"/>
  <c r="J9" i="31"/>
  <c r="L9" i="31"/>
  <c r="G10" i="31"/>
  <c r="H10" i="31"/>
  <c r="I10" i="31"/>
  <c r="J10" i="31"/>
  <c r="L10" i="31"/>
  <c r="G11" i="31"/>
  <c r="H11" i="31"/>
  <c r="I11" i="31"/>
  <c r="J11" i="31"/>
  <c r="L11" i="31"/>
  <c r="G12" i="31"/>
  <c r="H12" i="31"/>
  <c r="I12" i="31"/>
  <c r="J12" i="31"/>
  <c r="L12" i="31"/>
  <c r="G13" i="31"/>
  <c r="H13" i="31"/>
  <c r="I13" i="31"/>
  <c r="J13" i="31"/>
  <c r="L13" i="31"/>
  <c r="G14" i="31"/>
  <c r="H14" i="31"/>
  <c r="I14" i="31"/>
  <c r="J14" i="31"/>
  <c r="L14" i="31"/>
  <c r="G15" i="31"/>
  <c r="H15" i="31"/>
  <c r="I15" i="31"/>
  <c r="J15" i="31"/>
  <c r="L15" i="31"/>
  <c r="G16" i="31"/>
  <c r="H16" i="31"/>
  <c r="H18" i="31" s="1"/>
  <c r="I16" i="31"/>
  <c r="J16" i="31"/>
  <c r="K18" i="31"/>
  <c r="L16" i="31"/>
  <c r="G17" i="31"/>
  <c r="H17" i="31"/>
  <c r="I17" i="31"/>
  <c r="J17" i="31"/>
  <c r="L17" i="31"/>
  <c r="G5" i="8"/>
  <c r="L18" i="31" l="1"/>
  <c r="J18" i="31"/>
  <c r="G18" i="31"/>
  <c r="I18" i="31"/>
  <c r="L10" i="34"/>
  <c r="L34" i="34" l="1"/>
  <c r="L33" i="34"/>
  <c r="L32" i="34"/>
  <c r="L30" i="34"/>
  <c r="L29" i="34"/>
  <c r="L28" i="34"/>
  <c r="L26" i="34"/>
  <c r="L25" i="34"/>
  <c r="L24" i="34"/>
  <c r="L22" i="34"/>
  <c r="L21" i="34"/>
  <c r="L20" i="34"/>
  <c r="L18" i="34"/>
  <c r="L17" i="34"/>
  <c r="L16" i="34"/>
  <c r="L12" i="34"/>
  <c r="L14" i="34"/>
  <c r="L13" i="34"/>
  <c r="L9" i="34"/>
  <c r="L8" i="34"/>
  <c r="L6" i="34"/>
  <c r="L5" i="34"/>
  <c r="L4" i="34"/>
  <c r="I6" i="47" l="1"/>
  <c r="H6" i="47"/>
  <c r="J17" i="47"/>
  <c r="F17" i="47"/>
  <c r="E17" i="47"/>
  <c r="D17" i="47"/>
  <c r="C17" i="47"/>
  <c r="M7" i="17"/>
  <c r="M6" i="17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28" i="29"/>
  <c r="M27" i="29"/>
  <c r="M26" i="29"/>
  <c r="M25" i="29"/>
  <c r="M24" i="29"/>
  <c r="M23" i="29"/>
  <c r="M22" i="29"/>
  <c r="M21" i="29"/>
  <c r="M12" i="29"/>
  <c r="M11" i="29"/>
  <c r="M10" i="29"/>
  <c r="M9" i="29"/>
  <c r="M8" i="29"/>
  <c r="M7" i="29"/>
  <c r="M6" i="29"/>
  <c r="M5" i="29"/>
  <c r="M29" i="30"/>
  <c r="M28" i="30"/>
  <c r="M27" i="30"/>
  <c r="M26" i="30"/>
  <c r="M25" i="30"/>
  <c r="M24" i="30"/>
  <c r="M23" i="30"/>
  <c r="M22" i="30"/>
  <c r="M12" i="30"/>
  <c r="M11" i="30"/>
  <c r="M10" i="30"/>
  <c r="M9" i="30"/>
  <c r="M8" i="30"/>
  <c r="M7" i="30"/>
  <c r="M6" i="30"/>
  <c r="M5" i="30"/>
  <c r="M13" i="29" l="1"/>
  <c r="M13" i="30"/>
  <c r="M30" i="30"/>
  <c r="M29" i="29"/>
  <c r="M22" i="10"/>
  <c r="G17" i="47"/>
  <c r="K17" i="47" s="1"/>
  <c r="M17" i="31"/>
  <c r="M16" i="31"/>
  <c r="M15" i="31"/>
  <c r="M14" i="31"/>
  <c r="M13" i="31"/>
  <c r="M12" i="31"/>
  <c r="M11" i="31"/>
  <c r="M10" i="31"/>
  <c r="M9" i="31"/>
  <c r="M8" i="31"/>
  <c r="M7" i="31"/>
  <c r="M6" i="31"/>
  <c r="M5" i="31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28" i="53"/>
  <c r="M27" i="53"/>
  <c r="M26" i="53"/>
  <c r="M25" i="53"/>
  <c r="M24" i="53"/>
  <c r="M23" i="53"/>
  <c r="M22" i="53"/>
  <c r="M21" i="53"/>
  <c r="M12" i="53"/>
  <c r="M11" i="53"/>
  <c r="M10" i="53"/>
  <c r="M9" i="53"/>
  <c r="M8" i="53"/>
  <c r="M7" i="53"/>
  <c r="M6" i="53"/>
  <c r="M5" i="53"/>
  <c r="M29" i="12"/>
  <c r="M28" i="12"/>
  <c r="M27" i="12"/>
  <c r="M26" i="12"/>
  <c r="M25" i="12"/>
  <c r="M24" i="12"/>
  <c r="M23" i="12"/>
  <c r="M22" i="12"/>
  <c r="M12" i="12"/>
  <c r="M11" i="12"/>
  <c r="M10" i="12"/>
  <c r="M9" i="12"/>
  <c r="M8" i="12"/>
  <c r="M7" i="12"/>
  <c r="M6" i="12"/>
  <c r="M5" i="12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5" i="58"/>
  <c r="M7" i="58"/>
  <c r="M8" i="58"/>
  <c r="M9" i="58"/>
  <c r="M10" i="58"/>
  <c r="M14" i="58"/>
  <c r="M15" i="58"/>
  <c r="M21" i="58"/>
  <c r="M20" i="58"/>
  <c r="M19" i="58"/>
  <c r="M18" i="58"/>
  <c r="M17" i="58"/>
  <c r="M16" i="58"/>
  <c r="M13" i="58"/>
  <c r="M12" i="58"/>
  <c r="M11" i="58"/>
  <c r="M6" i="58"/>
  <c r="M4" i="58"/>
  <c r="H28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3" i="12" l="1"/>
  <c r="M30" i="12"/>
  <c r="M13" i="53"/>
  <c r="M29" i="53"/>
  <c r="M18" i="8"/>
  <c r="M22" i="5"/>
  <c r="M19" i="9"/>
  <c r="M18" i="32"/>
  <c r="M22" i="4"/>
  <c r="M22" i="6"/>
  <c r="M18" i="31"/>
  <c r="M22" i="58"/>
  <c r="M22" i="3"/>
  <c r="M6" i="1"/>
  <c r="M5" i="1"/>
  <c r="M4" i="1"/>
  <c r="M22" i="1" s="1"/>
  <c r="C7" i="10" l="1"/>
  <c r="I24" i="47" l="1"/>
  <c r="F24" i="47"/>
  <c r="E24" i="47"/>
  <c r="G24" i="47" s="1"/>
  <c r="D24" i="47"/>
  <c r="C24" i="47"/>
  <c r="J18" i="47"/>
  <c r="H18" i="47"/>
  <c r="H13" i="17"/>
  <c r="H12" i="17"/>
  <c r="H28" i="10"/>
  <c r="H28" i="58"/>
  <c r="H28" i="5"/>
  <c r="H28" i="4"/>
  <c r="H28" i="3"/>
  <c r="H28" i="2"/>
  <c r="H28" i="1"/>
  <c r="K24" i="47" l="1"/>
  <c r="F28" i="2" l="1"/>
  <c r="J15" i="6" l="1"/>
  <c r="I20" i="6"/>
  <c r="C23" i="47" l="1"/>
  <c r="I21" i="47" l="1"/>
  <c r="F21" i="47"/>
  <c r="E21" i="47"/>
  <c r="D21" i="47"/>
  <c r="C21" i="47"/>
  <c r="E13" i="17"/>
  <c r="E12" i="17"/>
  <c r="E28" i="10"/>
  <c r="E28" i="58"/>
  <c r="E28" i="6"/>
  <c r="E28" i="5"/>
  <c r="F28" i="4"/>
  <c r="E28" i="4"/>
  <c r="E28" i="3"/>
  <c r="E28" i="2"/>
  <c r="E28" i="1"/>
  <c r="G7" i="1"/>
  <c r="G13" i="1"/>
  <c r="G21" i="47" l="1"/>
  <c r="J16" i="47" l="1"/>
  <c r="F16" i="47"/>
  <c r="E16" i="47"/>
  <c r="D16" i="47"/>
  <c r="C16" i="47"/>
  <c r="K34" i="34"/>
  <c r="K33" i="34"/>
  <c r="K32" i="34"/>
  <c r="K30" i="34"/>
  <c r="K29" i="34"/>
  <c r="K28" i="34"/>
  <c r="K26" i="34"/>
  <c r="K25" i="34"/>
  <c r="K24" i="34"/>
  <c r="K22" i="34"/>
  <c r="K21" i="34"/>
  <c r="K20" i="34"/>
  <c r="K18" i="34"/>
  <c r="K17" i="34"/>
  <c r="K16" i="34"/>
  <c r="K14" i="34"/>
  <c r="K13" i="34"/>
  <c r="K12" i="34"/>
  <c r="K10" i="34"/>
  <c r="K9" i="34"/>
  <c r="K8" i="34"/>
  <c r="K6" i="34"/>
  <c r="K5" i="34"/>
  <c r="K4" i="34"/>
  <c r="L7" i="17"/>
  <c r="L6" i="17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8" i="29"/>
  <c r="L27" i="29"/>
  <c r="L26" i="29"/>
  <c r="L25" i="29"/>
  <c r="L24" i="29"/>
  <c r="L23" i="29"/>
  <c r="L22" i="29"/>
  <c r="L21" i="29"/>
  <c r="L12" i="29"/>
  <c r="L11" i="29"/>
  <c r="L10" i="29"/>
  <c r="L9" i="29"/>
  <c r="L8" i="29"/>
  <c r="L7" i="29"/>
  <c r="L6" i="29"/>
  <c r="L5" i="29"/>
  <c r="L29" i="30"/>
  <c r="L28" i="30"/>
  <c r="L27" i="30"/>
  <c r="L26" i="30"/>
  <c r="L25" i="30"/>
  <c r="L24" i="30"/>
  <c r="L23" i="30"/>
  <c r="L22" i="30"/>
  <c r="L12" i="30"/>
  <c r="L11" i="30"/>
  <c r="L10" i="30"/>
  <c r="L9" i="30"/>
  <c r="L8" i="30"/>
  <c r="L7" i="30"/>
  <c r="L6" i="30"/>
  <c r="L5" i="30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28" i="53"/>
  <c r="L27" i="53"/>
  <c r="L26" i="53"/>
  <c r="L25" i="53"/>
  <c r="L24" i="53"/>
  <c r="L23" i="53"/>
  <c r="L22" i="53"/>
  <c r="L21" i="53"/>
  <c r="L12" i="53"/>
  <c r="L11" i="53"/>
  <c r="L10" i="53"/>
  <c r="L9" i="53"/>
  <c r="L8" i="53"/>
  <c r="L7" i="53"/>
  <c r="L6" i="53"/>
  <c r="L5" i="53"/>
  <c r="L29" i="12"/>
  <c r="L28" i="12"/>
  <c r="L27" i="12"/>
  <c r="L26" i="12"/>
  <c r="L25" i="12"/>
  <c r="L24" i="12"/>
  <c r="L23" i="12"/>
  <c r="L22" i="12"/>
  <c r="L12" i="12"/>
  <c r="L11" i="12"/>
  <c r="L10" i="12"/>
  <c r="L9" i="12"/>
  <c r="L8" i="12"/>
  <c r="L7" i="12"/>
  <c r="L6" i="12"/>
  <c r="L5" i="12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G16" i="47" l="1"/>
  <c r="L22" i="1"/>
  <c r="J14" i="47"/>
  <c r="F14" i="47"/>
  <c r="E14" i="47"/>
  <c r="D14" i="47"/>
  <c r="C14" i="47"/>
  <c r="I34" i="34"/>
  <c r="I33" i="34"/>
  <c r="I32" i="34"/>
  <c r="I30" i="34"/>
  <c r="I29" i="34"/>
  <c r="I28" i="34"/>
  <c r="I26" i="34"/>
  <c r="I25" i="34"/>
  <c r="I24" i="34"/>
  <c r="I22" i="34"/>
  <c r="I21" i="34"/>
  <c r="I20" i="34"/>
  <c r="I18" i="34"/>
  <c r="I17" i="34"/>
  <c r="I16" i="34"/>
  <c r="I14" i="34"/>
  <c r="I13" i="34"/>
  <c r="I12" i="34"/>
  <c r="I10" i="34"/>
  <c r="I9" i="34"/>
  <c r="I8" i="34"/>
  <c r="I6" i="34"/>
  <c r="I5" i="34"/>
  <c r="I4" i="34"/>
  <c r="J7" i="17"/>
  <c r="J6" i="17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28" i="29"/>
  <c r="J27" i="29"/>
  <c r="J26" i="29"/>
  <c r="J25" i="29"/>
  <c r="J24" i="29"/>
  <c r="J23" i="29"/>
  <c r="J22" i="29"/>
  <c r="J21" i="29"/>
  <c r="J12" i="29"/>
  <c r="J11" i="29"/>
  <c r="J10" i="29"/>
  <c r="J9" i="29"/>
  <c r="J8" i="29"/>
  <c r="J7" i="29"/>
  <c r="J6" i="29"/>
  <c r="J5" i="29"/>
  <c r="J29" i="30"/>
  <c r="J28" i="30"/>
  <c r="J27" i="30"/>
  <c r="J26" i="30"/>
  <c r="J25" i="30"/>
  <c r="J24" i="30"/>
  <c r="J23" i="30"/>
  <c r="J22" i="30"/>
  <c r="J12" i="30"/>
  <c r="J11" i="30"/>
  <c r="J10" i="30"/>
  <c r="J9" i="30"/>
  <c r="J8" i="30"/>
  <c r="J7" i="30"/>
  <c r="J6" i="30"/>
  <c r="J5" i="30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28" i="53"/>
  <c r="J27" i="53"/>
  <c r="J26" i="53"/>
  <c r="J25" i="53"/>
  <c r="J24" i="53"/>
  <c r="J23" i="53"/>
  <c r="J22" i="53"/>
  <c r="J21" i="53"/>
  <c r="J12" i="53"/>
  <c r="J11" i="53"/>
  <c r="J10" i="53"/>
  <c r="J9" i="53"/>
  <c r="J8" i="53"/>
  <c r="J7" i="53"/>
  <c r="J6" i="53"/>
  <c r="J5" i="53"/>
  <c r="J29" i="12"/>
  <c r="J28" i="12"/>
  <c r="J27" i="12"/>
  <c r="J26" i="12"/>
  <c r="J25" i="12"/>
  <c r="J24" i="12"/>
  <c r="J23" i="12"/>
  <c r="J22" i="12"/>
  <c r="J12" i="12"/>
  <c r="J11" i="12"/>
  <c r="J10" i="12"/>
  <c r="J9" i="12"/>
  <c r="J8" i="12"/>
  <c r="J7" i="12"/>
  <c r="J6" i="12"/>
  <c r="J5" i="12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7" i="58"/>
  <c r="J6" i="58"/>
  <c r="J5" i="58"/>
  <c r="J4" i="58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J5" i="6"/>
  <c r="J4" i="6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3" i="47"/>
  <c r="F13" i="47"/>
  <c r="E13" i="47"/>
  <c r="D13" i="47"/>
  <c r="C13" i="47"/>
  <c r="H34" i="34"/>
  <c r="H33" i="34"/>
  <c r="H32" i="34"/>
  <c r="H30" i="34"/>
  <c r="H29" i="34"/>
  <c r="H28" i="34"/>
  <c r="H26" i="34"/>
  <c r="H25" i="34"/>
  <c r="H24" i="34"/>
  <c r="H22" i="34"/>
  <c r="H21" i="34"/>
  <c r="H20" i="34"/>
  <c r="H18" i="34"/>
  <c r="H17" i="34"/>
  <c r="H16" i="34"/>
  <c r="H14" i="34"/>
  <c r="H13" i="34"/>
  <c r="H12" i="34"/>
  <c r="H10" i="34"/>
  <c r="H9" i="34"/>
  <c r="H8" i="34"/>
  <c r="H6" i="34"/>
  <c r="H5" i="34"/>
  <c r="H4" i="34"/>
  <c r="I7" i="17"/>
  <c r="I6" i="17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8" i="29"/>
  <c r="I27" i="29"/>
  <c r="I26" i="29"/>
  <c r="I25" i="29"/>
  <c r="I24" i="29"/>
  <c r="I23" i="29"/>
  <c r="I22" i="29"/>
  <c r="I21" i="29"/>
  <c r="I12" i="29"/>
  <c r="I11" i="29"/>
  <c r="I10" i="29"/>
  <c r="I9" i="29"/>
  <c r="I8" i="29"/>
  <c r="I7" i="29"/>
  <c r="I6" i="29"/>
  <c r="I5" i="29"/>
  <c r="I29" i="30"/>
  <c r="I28" i="30"/>
  <c r="I27" i="30"/>
  <c r="I26" i="30"/>
  <c r="I25" i="30"/>
  <c r="I24" i="30"/>
  <c r="I23" i="30"/>
  <c r="I22" i="30"/>
  <c r="I12" i="30"/>
  <c r="I11" i="30"/>
  <c r="I10" i="30"/>
  <c r="I9" i="30"/>
  <c r="I8" i="30"/>
  <c r="I7" i="30"/>
  <c r="I6" i="30"/>
  <c r="I5" i="30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28" i="53"/>
  <c r="I27" i="53"/>
  <c r="I26" i="53"/>
  <c r="I25" i="53"/>
  <c r="I24" i="53"/>
  <c r="I23" i="53"/>
  <c r="I22" i="53"/>
  <c r="I21" i="53"/>
  <c r="I12" i="53"/>
  <c r="I11" i="53"/>
  <c r="I10" i="53"/>
  <c r="I9" i="53"/>
  <c r="I8" i="53"/>
  <c r="I7" i="53"/>
  <c r="I6" i="53"/>
  <c r="I5" i="53"/>
  <c r="I29" i="12"/>
  <c r="I28" i="12"/>
  <c r="I27" i="12"/>
  <c r="I26" i="12"/>
  <c r="I25" i="12"/>
  <c r="I24" i="12"/>
  <c r="I23" i="12"/>
  <c r="I22" i="12"/>
  <c r="I12" i="12"/>
  <c r="I11" i="12"/>
  <c r="I10" i="12"/>
  <c r="I9" i="12"/>
  <c r="I8" i="12"/>
  <c r="I7" i="12"/>
  <c r="I6" i="12"/>
  <c r="I5" i="12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" i="58"/>
  <c r="I5" i="58"/>
  <c r="I4" i="58"/>
  <c r="I21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14" i="34"/>
  <c r="G10" i="34"/>
  <c r="H7" i="17"/>
  <c r="H6" i="17"/>
  <c r="H6" i="1"/>
  <c r="H5" i="1"/>
  <c r="H4" i="1"/>
  <c r="J11" i="47"/>
  <c r="G4" i="1"/>
  <c r="J22" i="1" l="1"/>
  <c r="G13" i="47"/>
  <c r="I22" i="1"/>
  <c r="G14" i="47"/>
  <c r="J30" i="12"/>
  <c r="K13" i="47"/>
  <c r="F4" i="1"/>
  <c r="G28" i="1"/>
  <c r="I22" i="47"/>
  <c r="F22" i="47"/>
  <c r="E22" i="47"/>
  <c r="D22" i="47"/>
  <c r="C22" i="47"/>
  <c r="F13" i="17"/>
  <c r="F12" i="17"/>
  <c r="F28" i="10"/>
  <c r="F28" i="58"/>
  <c r="F28" i="6"/>
  <c r="F28" i="5"/>
  <c r="F28" i="3"/>
  <c r="F28" i="1"/>
  <c r="G22" i="47" l="1"/>
  <c r="I20" i="47"/>
  <c r="F20" i="47"/>
  <c r="E20" i="47"/>
  <c r="D20" i="47"/>
  <c r="C20" i="47"/>
  <c r="D13" i="17"/>
  <c r="D12" i="17"/>
  <c r="D28" i="10"/>
  <c r="D28" i="58"/>
  <c r="D28" i="6"/>
  <c r="D28" i="5"/>
  <c r="D28" i="4"/>
  <c r="D28" i="3"/>
  <c r="D28" i="2"/>
  <c r="D28" i="1"/>
  <c r="J9" i="47"/>
  <c r="F9" i="47"/>
  <c r="E9" i="47"/>
  <c r="D9" i="47"/>
  <c r="C9" i="47"/>
  <c r="D34" i="34"/>
  <c r="D33" i="34"/>
  <c r="D32" i="34"/>
  <c r="D30" i="34"/>
  <c r="D29" i="34"/>
  <c r="D28" i="34"/>
  <c r="D26" i="34"/>
  <c r="D25" i="34"/>
  <c r="D24" i="34"/>
  <c r="D22" i="34"/>
  <c r="D21" i="34"/>
  <c r="D20" i="34"/>
  <c r="D18" i="34"/>
  <c r="D17" i="34"/>
  <c r="D16" i="34"/>
  <c r="D14" i="34"/>
  <c r="D13" i="34"/>
  <c r="D12" i="34"/>
  <c r="D10" i="34"/>
  <c r="D9" i="34"/>
  <c r="D8" i="34"/>
  <c r="D6" i="34"/>
  <c r="D5" i="34"/>
  <c r="D4" i="34"/>
  <c r="E7" i="17"/>
  <c r="E6" i="17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8" i="29"/>
  <c r="E27" i="29"/>
  <c r="E26" i="29"/>
  <c r="E25" i="29"/>
  <c r="E24" i="29"/>
  <c r="E23" i="29"/>
  <c r="E22" i="29"/>
  <c r="E21" i="29"/>
  <c r="E12" i="29"/>
  <c r="E11" i="29"/>
  <c r="E10" i="29"/>
  <c r="E9" i="29"/>
  <c r="E8" i="29"/>
  <c r="E7" i="29"/>
  <c r="E6" i="29"/>
  <c r="E5" i="29"/>
  <c r="E29" i="30"/>
  <c r="E28" i="30"/>
  <c r="E27" i="30"/>
  <c r="E26" i="30"/>
  <c r="E25" i="30"/>
  <c r="E24" i="30"/>
  <c r="E23" i="30"/>
  <c r="E22" i="30"/>
  <c r="E12" i="30"/>
  <c r="E11" i="30"/>
  <c r="E10" i="30"/>
  <c r="E9" i="30"/>
  <c r="E8" i="30"/>
  <c r="E7" i="30"/>
  <c r="E6" i="30"/>
  <c r="E5" i="30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8" i="53"/>
  <c r="E27" i="53"/>
  <c r="E26" i="53"/>
  <c r="E25" i="53"/>
  <c r="E24" i="53"/>
  <c r="E23" i="53"/>
  <c r="E22" i="53"/>
  <c r="E21" i="53"/>
  <c r="E12" i="53"/>
  <c r="E11" i="53"/>
  <c r="E10" i="53"/>
  <c r="E9" i="53"/>
  <c r="E8" i="53"/>
  <c r="E7" i="53"/>
  <c r="E6" i="53"/>
  <c r="E5" i="53"/>
  <c r="E29" i="12"/>
  <c r="E28" i="12"/>
  <c r="E27" i="12"/>
  <c r="E26" i="12"/>
  <c r="E25" i="12"/>
  <c r="E24" i="12"/>
  <c r="E23" i="12"/>
  <c r="E22" i="12"/>
  <c r="E12" i="12"/>
  <c r="E11" i="12"/>
  <c r="E10" i="12"/>
  <c r="E9" i="12"/>
  <c r="E8" i="12"/>
  <c r="E7" i="12"/>
  <c r="E6" i="12"/>
  <c r="E5" i="12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E6" i="58"/>
  <c r="E5" i="58"/>
  <c r="E4" i="58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1" i="1"/>
  <c r="E20" i="1"/>
  <c r="E19" i="1"/>
  <c r="E18" i="1"/>
  <c r="E17" i="1"/>
  <c r="E16" i="1"/>
  <c r="E15" i="1"/>
  <c r="E14" i="1"/>
  <c r="E13" i="1"/>
  <c r="E12" i="1"/>
  <c r="J8" i="47"/>
  <c r="F8" i="47"/>
  <c r="E8" i="47"/>
  <c r="D8" i="47"/>
  <c r="C8" i="47"/>
  <c r="C34" i="34"/>
  <c r="C33" i="34"/>
  <c r="C32" i="34"/>
  <c r="C30" i="34"/>
  <c r="C29" i="34"/>
  <c r="C28" i="34"/>
  <c r="C26" i="34"/>
  <c r="C25" i="34"/>
  <c r="C24" i="34"/>
  <c r="C22" i="34"/>
  <c r="C21" i="34"/>
  <c r="C20" i="34"/>
  <c r="C18" i="34"/>
  <c r="C17" i="34"/>
  <c r="C16" i="34"/>
  <c r="C14" i="34"/>
  <c r="C13" i="34"/>
  <c r="C12" i="34"/>
  <c r="C10" i="34"/>
  <c r="C9" i="34"/>
  <c r="C8" i="34"/>
  <c r="C6" i="34"/>
  <c r="C5" i="34"/>
  <c r="C4" i="34"/>
  <c r="D7" i="17"/>
  <c r="D6" i="1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8" i="29"/>
  <c r="D27" i="29"/>
  <c r="D26" i="29"/>
  <c r="D25" i="29"/>
  <c r="D24" i="29"/>
  <c r="D23" i="29"/>
  <c r="D22" i="29"/>
  <c r="D21" i="29"/>
  <c r="D12" i="29"/>
  <c r="D11" i="29"/>
  <c r="D10" i="29"/>
  <c r="D9" i="29"/>
  <c r="D8" i="29"/>
  <c r="D7" i="29"/>
  <c r="D6" i="29"/>
  <c r="D5" i="29"/>
  <c r="D29" i="30"/>
  <c r="D28" i="30"/>
  <c r="D27" i="30"/>
  <c r="D26" i="30"/>
  <c r="D25" i="30"/>
  <c r="D24" i="30"/>
  <c r="D23" i="30"/>
  <c r="D22" i="30"/>
  <c r="D12" i="30"/>
  <c r="D11" i="30"/>
  <c r="D10" i="30"/>
  <c r="D9" i="30"/>
  <c r="D8" i="30"/>
  <c r="D7" i="30"/>
  <c r="D6" i="30"/>
  <c r="D5" i="30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28" i="53"/>
  <c r="D27" i="53"/>
  <c r="D26" i="53"/>
  <c r="D25" i="53"/>
  <c r="D24" i="53"/>
  <c r="D23" i="53"/>
  <c r="D22" i="53"/>
  <c r="D21" i="53"/>
  <c r="D12" i="53"/>
  <c r="D11" i="53"/>
  <c r="D10" i="53"/>
  <c r="D9" i="53"/>
  <c r="D8" i="53"/>
  <c r="D7" i="53"/>
  <c r="D6" i="53"/>
  <c r="D5" i="53"/>
  <c r="D29" i="12"/>
  <c r="D28" i="12"/>
  <c r="D27" i="12"/>
  <c r="D26" i="12"/>
  <c r="D25" i="12"/>
  <c r="D24" i="12"/>
  <c r="D23" i="12"/>
  <c r="D22" i="12"/>
  <c r="D12" i="12"/>
  <c r="D11" i="12"/>
  <c r="D10" i="12"/>
  <c r="D9" i="12"/>
  <c r="D8" i="12"/>
  <c r="D7" i="12"/>
  <c r="D6" i="12"/>
  <c r="D5" i="12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6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20" i="47" l="1"/>
  <c r="K20" i="47" s="1"/>
  <c r="G8" i="47"/>
  <c r="G9" i="47"/>
  <c r="G12" i="57"/>
  <c r="G10" i="57"/>
  <c r="G9" i="57" l="1"/>
  <c r="G11" i="57" s="1"/>
  <c r="C4" i="1" l="1"/>
  <c r="E11" i="1" l="1"/>
  <c r="E10" i="1"/>
  <c r="E9" i="1"/>
  <c r="E8" i="1"/>
  <c r="E7" i="1"/>
  <c r="E6" i="1"/>
  <c r="E5" i="1"/>
  <c r="E4" i="1"/>
  <c r="E22" i="2"/>
  <c r="F12" i="57" l="1"/>
  <c r="F10" i="57"/>
  <c r="F9" i="57"/>
  <c r="E12" i="57"/>
  <c r="E10" i="57"/>
  <c r="E9" i="57"/>
  <c r="D12" i="57"/>
  <c r="D10" i="57"/>
  <c r="D9" i="57"/>
  <c r="F11" i="57" l="1"/>
  <c r="D11" i="57"/>
  <c r="E11" i="57"/>
  <c r="K30" i="30" l="1"/>
  <c r="K13" i="30"/>
  <c r="K13" i="29"/>
  <c r="K29" i="29"/>
  <c r="K22" i="10"/>
  <c r="K29" i="53"/>
  <c r="K13" i="53"/>
  <c r="K18" i="32"/>
  <c r="K22" i="1" l="1"/>
  <c r="K13" i="12"/>
  <c r="K22" i="4"/>
  <c r="K22" i="6"/>
  <c r="K18" i="8"/>
  <c r="K22" i="3"/>
  <c r="K19" i="9"/>
  <c r="K22" i="5"/>
  <c r="K22" i="58"/>
  <c r="K30" i="12"/>
  <c r="K15" i="47" l="1"/>
  <c r="G34" i="34"/>
  <c r="G30" i="34"/>
  <c r="G26" i="34"/>
  <c r="G22" i="34"/>
  <c r="G18" i="34"/>
  <c r="J12" i="47" l="1"/>
  <c r="F12" i="47"/>
  <c r="E12" i="47"/>
  <c r="D12" i="47"/>
  <c r="C12" i="47"/>
  <c r="G33" i="34"/>
  <c r="G32" i="34"/>
  <c r="G29" i="34"/>
  <c r="G28" i="34"/>
  <c r="G25" i="34"/>
  <c r="G24" i="34"/>
  <c r="G21" i="34"/>
  <c r="G20" i="34"/>
  <c r="G17" i="34"/>
  <c r="G16" i="34"/>
  <c r="G13" i="34"/>
  <c r="G12" i="34"/>
  <c r="G9" i="34"/>
  <c r="G8" i="34"/>
  <c r="G5" i="34"/>
  <c r="G4" i="34"/>
  <c r="G12" i="47" l="1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28" i="29"/>
  <c r="H27" i="29"/>
  <c r="H26" i="29"/>
  <c r="H25" i="29"/>
  <c r="H24" i="29"/>
  <c r="H23" i="29"/>
  <c r="H22" i="29"/>
  <c r="H21" i="29"/>
  <c r="H12" i="29"/>
  <c r="H11" i="29"/>
  <c r="H10" i="29"/>
  <c r="H9" i="29"/>
  <c r="H8" i="29"/>
  <c r="H7" i="29"/>
  <c r="H6" i="29"/>
  <c r="H5" i="29"/>
  <c r="H29" i="30"/>
  <c r="H28" i="30"/>
  <c r="H27" i="30"/>
  <c r="H26" i="30"/>
  <c r="H25" i="30"/>
  <c r="H24" i="30"/>
  <c r="H23" i="30"/>
  <c r="H22" i="30"/>
  <c r="H12" i="30"/>
  <c r="H11" i="30"/>
  <c r="H10" i="30"/>
  <c r="H9" i="30"/>
  <c r="H8" i="30"/>
  <c r="H7" i="30"/>
  <c r="H6" i="30"/>
  <c r="H5" i="30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8" i="53"/>
  <c r="H27" i="53"/>
  <c r="H26" i="53"/>
  <c r="H25" i="53"/>
  <c r="H24" i="53"/>
  <c r="H23" i="53"/>
  <c r="H22" i="53"/>
  <c r="H21" i="53"/>
  <c r="H12" i="53"/>
  <c r="H11" i="53"/>
  <c r="H10" i="53"/>
  <c r="H9" i="53"/>
  <c r="H8" i="53"/>
  <c r="H7" i="53"/>
  <c r="H6" i="53"/>
  <c r="H5" i="53"/>
  <c r="H29" i="12"/>
  <c r="H28" i="12"/>
  <c r="H27" i="12"/>
  <c r="H26" i="12"/>
  <c r="H25" i="12"/>
  <c r="H24" i="12"/>
  <c r="H23" i="12"/>
  <c r="H22" i="12"/>
  <c r="H12" i="12"/>
  <c r="H11" i="12"/>
  <c r="H10" i="12"/>
  <c r="H9" i="12"/>
  <c r="H8" i="12"/>
  <c r="H7" i="12"/>
  <c r="H6" i="12"/>
  <c r="H5" i="12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C28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22" i="1" l="1"/>
  <c r="G28" i="58"/>
  <c r="C28" i="58" l="1"/>
  <c r="I28" i="58" l="1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F30" i="58" l="1"/>
  <c r="M28" i="58"/>
  <c r="H30" i="58"/>
  <c r="I30" i="58"/>
  <c r="E30" i="58"/>
  <c r="D30" i="58"/>
  <c r="G30" i="58"/>
  <c r="C30" i="58"/>
  <c r="F21" i="58"/>
  <c r="F20" i="58"/>
  <c r="F19" i="58"/>
  <c r="F18" i="58"/>
  <c r="F17" i="58"/>
  <c r="F16" i="58"/>
  <c r="F15" i="58"/>
  <c r="F14" i="58"/>
  <c r="F12" i="58"/>
  <c r="F13" i="58"/>
  <c r="F11" i="58"/>
  <c r="F10" i="58"/>
  <c r="F9" i="58"/>
  <c r="F8" i="58"/>
  <c r="F7" i="58"/>
  <c r="F6" i="58"/>
  <c r="F5" i="58"/>
  <c r="F4" i="58"/>
  <c r="E22" i="58"/>
  <c r="D22" i="58"/>
  <c r="C21" i="58"/>
  <c r="N21" i="58" s="1"/>
  <c r="C20" i="58"/>
  <c r="N20" i="58" s="1"/>
  <c r="C19" i="58"/>
  <c r="N19" i="58" s="1"/>
  <c r="C18" i="58"/>
  <c r="C17" i="58"/>
  <c r="N17" i="58" s="1"/>
  <c r="C16" i="58"/>
  <c r="N16" i="58" s="1"/>
  <c r="C15" i="58"/>
  <c r="N15" i="58" s="1"/>
  <c r="C14" i="58"/>
  <c r="C13" i="58"/>
  <c r="C12" i="58"/>
  <c r="N12" i="58" s="1"/>
  <c r="C11" i="58"/>
  <c r="N11" i="58" s="1"/>
  <c r="C10" i="58"/>
  <c r="C9" i="58"/>
  <c r="N9" i="58" s="1"/>
  <c r="C8" i="58"/>
  <c r="N8" i="58" s="1"/>
  <c r="C7" i="58"/>
  <c r="N7" i="58" s="1"/>
  <c r="C6" i="58"/>
  <c r="C5" i="58"/>
  <c r="N5" i="58" s="1"/>
  <c r="C4" i="58"/>
  <c r="N4" i="58" s="1"/>
  <c r="J22" i="58"/>
  <c r="N13" i="58" l="1"/>
  <c r="N18" i="58"/>
  <c r="N6" i="58"/>
  <c r="N10" i="58"/>
  <c r="N14" i="58"/>
  <c r="I22" i="58"/>
  <c r="H22" i="58"/>
  <c r="L22" i="58"/>
  <c r="G22" i="58"/>
  <c r="F22" i="58"/>
  <c r="C22" i="58"/>
  <c r="N22" i="58" l="1"/>
  <c r="F11" i="47"/>
  <c r="E11" i="47"/>
  <c r="D11" i="47"/>
  <c r="C11" i="47"/>
  <c r="F34" i="34"/>
  <c r="F33" i="34"/>
  <c r="F32" i="34"/>
  <c r="F30" i="34"/>
  <c r="F29" i="34"/>
  <c r="F28" i="34"/>
  <c r="F26" i="34"/>
  <c r="F25" i="34"/>
  <c r="F24" i="34"/>
  <c r="F22" i="34"/>
  <c r="F21" i="34"/>
  <c r="F20" i="34"/>
  <c r="F18" i="34"/>
  <c r="F17" i="34"/>
  <c r="F16" i="34"/>
  <c r="F14" i="34"/>
  <c r="F13" i="34"/>
  <c r="F12" i="34"/>
  <c r="F10" i="34"/>
  <c r="F9" i="34"/>
  <c r="F8" i="34"/>
  <c r="F6" i="34"/>
  <c r="F5" i="34"/>
  <c r="F4" i="34"/>
  <c r="G7" i="17"/>
  <c r="G6" i="1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8" i="29"/>
  <c r="G27" i="29"/>
  <c r="G26" i="29"/>
  <c r="G25" i="29"/>
  <c r="G24" i="29"/>
  <c r="G23" i="29"/>
  <c r="G22" i="29"/>
  <c r="G21" i="29"/>
  <c r="G12" i="29"/>
  <c r="G11" i="29"/>
  <c r="G10" i="29"/>
  <c r="G9" i="29"/>
  <c r="G8" i="29"/>
  <c r="G7" i="29"/>
  <c r="G6" i="29"/>
  <c r="G5" i="29"/>
  <c r="G29" i="30"/>
  <c r="G28" i="30"/>
  <c r="G27" i="30"/>
  <c r="G26" i="30"/>
  <c r="G25" i="30"/>
  <c r="G24" i="30"/>
  <c r="G23" i="30"/>
  <c r="G22" i="30"/>
  <c r="G12" i="30"/>
  <c r="G11" i="30"/>
  <c r="G10" i="30"/>
  <c r="G9" i="30"/>
  <c r="G8" i="30"/>
  <c r="G7" i="30"/>
  <c r="G6" i="30"/>
  <c r="G5" i="30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28" i="53"/>
  <c r="G27" i="53"/>
  <c r="G26" i="53"/>
  <c r="G25" i="53"/>
  <c r="G24" i="53"/>
  <c r="G23" i="53"/>
  <c r="G22" i="53"/>
  <c r="G21" i="53"/>
  <c r="G12" i="53"/>
  <c r="G11" i="53"/>
  <c r="G10" i="53"/>
  <c r="G9" i="53"/>
  <c r="G8" i="53"/>
  <c r="G7" i="53"/>
  <c r="G6" i="53"/>
  <c r="G5" i="53"/>
  <c r="G29" i="12"/>
  <c r="G28" i="12"/>
  <c r="G27" i="12"/>
  <c r="G26" i="12"/>
  <c r="G25" i="12"/>
  <c r="G24" i="12"/>
  <c r="G23" i="12"/>
  <c r="G22" i="12"/>
  <c r="G12" i="12"/>
  <c r="G11" i="12"/>
  <c r="G10" i="12"/>
  <c r="G9" i="12"/>
  <c r="G8" i="12"/>
  <c r="G7" i="12"/>
  <c r="G6" i="12"/>
  <c r="G5" i="12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17" i="8"/>
  <c r="G16" i="8"/>
  <c r="G15" i="8"/>
  <c r="G14" i="8"/>
  <c r="G13" i="8"/>
  <c r="G12" i="8"/>
  <c r="G11" i="8"/>
  <c r="G10" i="8"/>
  <c r="G9" i="8"/>
  <c r="G8" i="8"/>
  <c r="G7" i="8"/>
  <c r="G6" i="8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22" i="1" l="1"/>
  <c r="J24" i="58"/>
  <c r="M24" i="58"/>
  <c r="I24" i="58"/>
  <c r="D24" i="58"/>
  <c r="C24" i="58"/>
  <c r="E24" i="58"/>
  <c r="G24" i="58"/>
  <c r="F24" i="58"/>
  <c r="H24" i="58"/>
  <c r="K24" i="58"/>
  <c r="L24" i="58"/>
  <c r="M27" i="58"/>
  <c r="M29" i="58" s="1"/>
  <c r="N29" i="58" s="1"/>
  <c r="G11" i="47"/>
  <c r="N24" i="58" l="1"/>
  <c r="N27" i="58"/>
  <c r="N28" i="58"/>
  <c r="E22" i="1" l="1"/>
  <c r="E22" i="5"/>
  <c r="I22" i="4" l="1"/>
  <c r="I22" i="6"/>
  <c r="I22" i="3"/>
  <c r="I22" i="5"/>
  <c r="H22" i="3" l="1"/>
  <c r="H30" i="12"/>
  <c r="K16" i="47" l="1"/>
  <c r="N4" i="1" l="1"/>
  <c r="J10" i="47"/>
  <c r="F10" i="47"/>
  <c r="E10" i="47"/>
  <c r="D10" i="47"/>
  <c r="C10" i="47"/>
  <c r="E34" i="34"/>
  <c r="E33" i="34"/>
  <c r="E32" i="34"/>
  <c r="E30" i="34"/>
  <c r="E29" i="34"/>
  <c r="E28" i="34"/>
  <c r="E26" i="34"/>
  <c r="E25" i="34"/>
  <c r="E24" i="34"/>
  <c r="E22" i="34"/>
  <c r="E21" i="34"/>
  <c r="E20" i="34"/>
  <c r="E18" i="34"/>
  <c r="E17" i="34"/>
  <c r="E16" i="34"/>
  <c r="E14" i="34"/>
  <c r="E13" i="34"/>
  <c r="E12" i="34"/>
  <c r="E10" i="34"/>
  <c r="E9" i="34"/>
  <c r="E8" i="34"/>
  <c r="E6" i="34"/>
  <c r="E5" i="34"/>
  <c r="E4" i="34"/>
  <c r="F7" i="17"/>
  <c r="F6" i="17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N7" i="10" s="1"/>
  <c r="F6" i="10"/>
  <c r="F5" i="10"/>
  <c r="F4" i="10"/>
  <c r="F28" i="29"/>
  <c r="F27" i="29"/>
  <c r="F26" i="29"/>
  <c r="F25" i="29"/>
  <c r="F24" i="29"/>
  <c r="F23" i="29"/>
  <c r="F22" i="29"/>
  <c r="F21" i="29"/>
  <c r="F12" i="29"/>
  <c r="F11" i="29"/>
  <c r="F10" i="29"/>
  <c r="F9" i="29"/>
  <c r="F8" i="29"/>
  <c r="F7" i="29"/>
  <c r="F6" i="29"/>
  <c r="F5" i="29"/>
  <c r="F29" i="30"/>
  <c r="F28" i="30"/>
  <c r="F27" i="30"/>
  <c r="F26" i="30"/>
  <c r="F25" i="30"/>
  <c r="F24" i="30"/>
  <c r="F23" i="30"/>
  <c r="F22" i="30"/>
  <c r="F12" i="30"/>
  <c r="F11" i="30"/>
  <c r="F10" i="30"/>
  <c r="F9" i="30"/>
  <c r="F8" i="30"/>
  <c r="F7" i="30"/>
  <c r="F6" i="30"/>
  <c r="F5" i="30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8" i="53"/>
  <c r="F27" i="53"/>
  <c r="F26" i="53"/>
  <c r="F25" i="53"/>
  <c r="F24" i="53"/>
  <c r="F23" i="53"/>
  <c r="F22" i="53"/>
  <c r="F21" i="53"/>
  <c r="F12" i="53"/>
  <c r="F11" i="53"/>
  <c r="F10" i="53"/>
  <c r="F9" i="53"/>
  <c r="F8" i="53"/>
  <c r="F7" i="53"/>
  <c r="F6" i="53"/>
  <c r="F5" i="53"/>
  <c r="F29" i="12"/>
  <c r="F28" i="12"/>
  <c r="F27" i="12"/>
  <c r="F26" i="12"/>
  <c r="F25" i="12"/>
  <c r="F24" i="12"/>
  <c r="F23" i="12"/>
  <c r="F22" i="12"/>
  <c r="F12" i="12"/>
  <c r="F11" i="12"/>
  <c r="F10" i="12"/>
  <c r="F9" i="12"/>
  <c r="F8" i="12"/>
  <c r="F7" i="12"/>
  <c r="F6" i="12"/>
  <c r="F5" i="12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0" i="30" l="1"/>
  <c r="F22" i="1"/>
  <c r="F22" i="3"/>
  <c r="G10" i="47"/>
  <c r="K8" i="47" l="1"/>
  <c r="J7" i="47"/>
  <c r="J6" i="47" s="1"/>
  <c r="F7" i="47"/>
  <c r="F6" i="47" s="1"/>
  <c r="E7" i="47"/>
  <c r="E6" i="47" s="1"/>
  <c r="D7" i="47"/>
  <c r="D6" i="47" s="1"/>
  <c r="C7" i="47"/>
  <c r="C6" i="47" s="1"/>
  <c r="B34" i="34"/>
  <c r="M34" i="34" s="1"/>
  <c r="B33" i="34"/>
  <c r="M33" i="34" s="1"/>
  <c r="B32" i="34"/>
  <c r="M32" i="34" s="1"/>
  <c r="B30" i="34"/>
  <c r="M30" i="34" s="1"/>
  <c r="B29" i="34"/>
  <c r="M29" i="34" s="1"/>
  <c r="B28" i="34"/>
  <c r="M28" i="34" s="1"/>
  <c r="B26" i="34"/>
  <c r="M26" i="34" s="1"/>
  <c r="B25" i="34"/>
  <c r="M25" i="34" s="1"/>
  <c r="B24" i="34"/>
  <c r="M24" i="34" s="1"/>
  <c r="B22" i="34"/>
  <c r="M22" i="34" s="1"/>
  <c r="B21" i="34"/>
  <c r="M21" i="34" s="1"/>
  <c r="B20" i="34"/>
  <c r="M20" i="34" s="1"/>
  <c r="B18" i="34"/>
  <c r="M18" i="34" s="1"/>
  <c r="B17" i="34"/>
  <c r="M17" i="34" s="1"/>
  <c r="B16" i="34"/>
  <c r="M16" i="34" s="1"/>
  <c r="B14" i="34"/>
  <c r="M14" i="34" s="1"/>
  <c r="B13" i="34"/>
  <c r="M13" i="34" s="1"/>
  <c r="B12" i="34"/>
  <c r="M12" i="34" s="1"/>
  <c r="B10" i="34"/>
  <c r="M10" i="34" s="1"/>
  <c r="B9" i="34"/>
  <c r="M9" i="34" s="1"/>
  <c r="B8" i="34"/>
  <c r="M8" i="34" s="1"/>
  <c r="B6" i="34"/>
  <c r="M6" i="34" s="1"/>
  <c r="B5" i="34"/>
  <c r="M5" i="34" s="1"/>
  <c r="B4" i="34"/>
  <c r="M4" i="34" s="1"/>
  <c r="C7" i="17"/>
  <c r="N7" i="17" s="1"/>
  <c r="C6" i="17"/>
  <c r="N6" i="17" s="1"/>
  <c r="C21" i="10"/>
  <c r="N21" i="10" s="1"/>
  <c r="C20" i="10"/>
  <c r="N20" i="10" s="1"/>
  <c r="C19" i="10"/>
  <c r="N19" i="10" s="1"/>
  <c r="C18" i="10"/>
  <c r="N18" i="10" s="1"/>
  <c r="C17" i="10"/>
  <c r="N17" i="10" s="1"/>
  <c r="C16" i="10"/>
  <c r="N16" i="10" s="1"/>
  <c r="C15" i="10"/>
  <c r="N15" i="10" s="1"/>
  <c r="C14" i="10"/>
  <c r="N14" i="10" s="1"/>
  <c r="C13" i="10"/>
  <c r="N13" i="10" s="1"/>
  <c r="C12" i="10"/>
  <c r="N12" i="10" s="1"/>
  <c r="C11" i="10"/>
  <c r="N11" i="10" s="1"/>
  <c r="C10" i="10"/>
  <c r="N10" i="10" s="1"/>
  <c r="C9" i="10"/>
  <c r="N9" i="10" s="1"/>
  <c r="C8" i="10"/>
  <c r="N8" i="10" s="1"/>
  <c r="C6" i="10"/>
  <c r="N6" i="10" s="1"/>
  <c r="C5" i="10"/>
  <c r="N5" i="10" s="1"/>
  <c r="C4" i="10"/>
  <c r="N4" i="10" s="1"/>
  <c r="C28" i="29"/>
  <c r="N28" i="29" s="1"/>
  <c r="C27" i="29"/>
  <c r="N27" i="29" s="1"/>
  <c r="C26" i="29"/>
  <c r="N26" i="29" s="1"/>
  <c r="C25" i="29"/>
  <c r="N25" i="29" s="1"/>
  <c r="C24" i="29"/>
  <c r="N24" i="29" s="1"/>
  <c r="C23" i="29"/>
  <c r="N23" i="29" s="1"/>
  <c r="C22" i="29"/>
  <c r="N22" i="29" s="1"/>
  <c r="C21" i="29"/>
  <c r="N21" i="29" s="1"/>
  <c r="C12" i="29"/>
  <c r="N12" i="29" s="1"/>
  <c r="C11" i="29"/>
  <c r="N11" i="29" s="1"/>
  <c r="C10" i="29"/>
  <c r="N10" i="29" s="1"/>
  <c r="C9" i="29"/>
  <c r="N9" i="29" s="1"/>
  <c r="C8" i="29"/>
  <c r="N8" i="29" s="1"/>
  <c r="C7" i="29"/>
  <c r="N7" i="29" s="1"/>
  <c r="C6" i="29"/>
  <c r="N6" i="29" s="1"/>
  <c r="C5" i="29"/>
  <c r="N5" i="29" s="1"/>
  <c r="C29" i="30"/>
  <c r="N29" i="30" s="1"/>
  <c r="C28" i="30"/>
  <c r="N28" i="30" s="1"/>
  <c r="C27" i="30"/>
  <c r="N27" i="30" s="1"/>
  <c r="C26" i="30"/>
  <c r="N26" i="30" s="1"/>
  <c r="C25" i="30"/>
  <c r="N25" i="30" s="1"/>
  <c r="C24" i="30"/>
  <c r="N24" i="30" s="1"/>
  <c r="C23" i="30"/>
  <c r="N23" i="30" s="1"/>
  <c r="C22" i="30"/>
  <c r="N22" i="30" s="1"/>
  <c r="C12" i="30"/>
  <c r="N12" i="30" s="1"/>
  <c r="C11" i="30"/>
  <c r="N11" i="30" s="1"/>
  <c r="C10" i="30"/>
  <c r="N10" i="30" s="1"/>
  <c r="C9" i="30"/>
  <c r="N9" i="30" s="1"/>
  <c r="C8" i="30"/>
  <c r="N8" i="30" s="1"/>
  <c r="C7" i="30"/>
  <c r="N7" i="30" s="1"/>
  <c r="C6" i="30"/>
  <c r="N6" i="30" s="1"/>
  <c r="C5" i="30"/>
  <c r="N5" i="30" s="1"/>
  <c r="C17" i="31"/>
  <c r="N17" i="31" s="1"/>
  <c r="C16" i="31"/>
  <c r="N16" i="31" s="1"/>
  <c r="C15" i="31"/>
  <c r="N15" i="31" s="1"/>
  <c r="C14" i="31"/>
  <c r="N14" i="31" s="1"/>
  <c r="C13" i="31"/>
  <c r="N13" i="31" s="1"/>
  <c r="C12" i="31"/>
  <c r="N12" i="31" s="1"/>
  <c r="C11" i="31"/>
  <c r="N11" i="31" s="1"/>
  <c r="C10" i="31"/>
  <c r="N10" i="31" s="1"/>
  <c r="C9" i="31"/>
  <c r="N9" i="31" s="1"/>
  <c r="C8" i="31"/>
  <c r="N8" i="31" s="1"/>
  <c r="C7" i="31"/>
  <c r="N7" i="31" s="1"/>
  <c r="C6" i="31"/>
  <c r="N6" i="31" s="1"/>
  <c r="C5" i="31"/>
  <c r="N5" i="31" s="1"/>
  <c r="C17" i="32"/>
  <c r="N17" i="32" s="1"/>
  <c r="C16" i="32"/>
  <c r="N16" i="32" s="1"/>
  <c r="C15" i="32"/>
  <c r="N15" i="32" s="1"/>
  <c r="C14" i="32"/>
  <c r="N14" i="32" s="1"/>
  <c r="C13" i="32"/>
  <c r="N13" i="32" s="1"/>
  <c r="C12" i="32"/>
  <c r="N12" i="32" s="1"/>
  <c r="C11" i="32"/>
  <c r="N11" i="32" s="1"/>
  <c r="C10" i="32"/>
  <c r="N10" i="32" s="1"/>
  <c r="C9" i="32"/>
  <c r="N9" i="32" s="1"/>
  <c r="C8" i="32"/>
  <c r="N8" i="32" s="1"/>
  <c r="C7" i="32"/>
  <c r="N7" i="32" s="1"/>
  <c r="C6" i="32"/>
  <c r="N6" i="32" s="1"/>
  <c r="C5" i="32"/>
  <c r="N5" i="32" s="1"/>
  <c r="C28" i="53"/>
  <c r="N28" i="53" s="1"/>
  <c r="C27" i="53"/>
  <c r="N27" i="53" s="1"/>
  <c r="C26" i="53"/>
  <c r="N26" i="53" s="1"/>
  <c r="C25" i="53"/>
  <c r="N25" i="53" s="1"/>
  <c r="C24" i="53"/>
  <c r="N24" i="53" s="1"/>
  <c r="C23" i="53"/>
  <c r="N23" i="53" s="1"/>
  <c r="C22" i="53"/>
  <c r="N22" i="53" s="1"/>
  <c r="C21" i="53"/>
  <c r="N21" i="53" s="1"/>
  <c r="C12" i="53"/>
  <c r="N12" i="53" s="1"/>
  <c r="C11" i="53"/>
  <c r="N11" i="53" s="1"/>
  <c r="C10" i="53"/>
  <c r="N10" i="53" s="1"/>
  <c r="C9" i="53"/>
  <c r="N9" i="53" s="1"/>
  <c r="C8" i="53"/>
  <c r="N8" i="53" s="1"/>
  <c r="C7" i="53"/>
  <c r="N7" i="53" s="1"/>
  <c r="C6" i="53"/>
  <c r="N6" i="53" s="1"/>
  <c r="C5" i="53"/>
  <c r="N5" i="53" s="1"/>
  <c r="C29" i="12"/>
  <c r="N29" i="12" s="1"/>
  <c r="C28" i="12"/>
  <c r="N28" i="12" s="1"/>
  <c r="C27" i="12"/>
  <c r="N27" i="12" s="1"/>
  <c r="C26" i="12"/>
  <c r="N26" i="12" s="1"/>
  <c r="C25" i="12"/>
  <c r="N25" i="12" s="1"/>
  <c r="C24" i="12"/>
  <c r="N24" i="12" s="1"/>
  <c r="C23" i="12"/>
  <c r="N23" i="12" s="1"/>
  <c r="C22" i="12"/>
  <c r="N22" i="12" s="1"/>
  <c r="C12" i="12"/>
  <c r="N12" i="12" s="1"/>
  <c r="C11" i="12"/>
  <c r="N11" i="12" s="1"/>
  <c r="C10" i="12"/>
  <c r="N10" i="12" s="1"/>
  <c r="C9" i="12"/>
  <c r="N9" i="12" s="1"/>
  <c r="C8" i="12"/>
  <c r="N8" i="12" s="1"/>
  <c r="C7" i="12"/>
  <c r="N7" i="12" s="1"/>
  <c r="C6" i="12"/>
  <c r="N6" i="12" s="1"/>
  <c r="C5" i="12"/>
  <c r="N5" i="12" s="1"/>
  <c r="C18" i="9"/>
  <c r="N18" i="9" s="1"/>
  <c r="C17" i="9"/>
  <c r="N17" i="9" s="1"/>
  <c r="C16" i="9"/>
  <c r="N16" i="9" s="1"/>
  <c r="C15" i="9"/>
  <c r="N15" i="9" s="1"/>
  <c r="C14" i="9"/>
  <c r="N14" i="9" s="1"/>
  <c r="C13" i="9"/>
  <c r="N13" i="9" s="1"/>
  <c r="C12" i="9"/>
  <c r="N12" i="9" s="1"/>
  <c r="C11" i="9"/>
  <c r="N11" i="9" s="1"/>
  <c r="C10" i="9"/>
  <c r="N10" i="9" s="1"/>
  <c r="C9" i="9"/>
  <c r="N9" i="9" s="1"/>
  <c r="C8" i="9"/>
  <c r="N8" i="9" s="1"/>
  <c r="C7" i="9"/>
  <c r="N7" i="9" s="1"/>
  <c r="C6" i="9"/>
  <c r="N6" i="9" s="1"/>
  <c r="C17" i="8"/>
  <c r="N17" i="8" s="1"/>
  <c r="C16" i="8"/>
  <c r="N16" i="8" s="1"/>
  <c r="C15" i="8"/>
  <c r="N15" i="8" s="1"/>
  <c r="C14" i="8"/>
  <c r="N14" i="8" s="1"/>
  <c r="C13" i="8"/>
  <c r="N13" i="8" s="1"/>
  <c r="C12" i="8"/>
  <c r="N12" i="8" s="1"/>
  <c r="C11" i="8"/>
  <c r="N11" i="8" s="1"/>
  <c r="C10" i="8"/>
  <c r="N10" i="8" s="1"/>
  <c r="C9" i="8"/>
  <c r="N9" i="8" s="1"/>
  <c r="C8" i="8"/>
  <c r="N8" i="8" s="1"/>
  <c r="C7" i="8"/>
  <c r="N7" i="8" s="1"/>
  <c r="C6" i="8"/>
  <c r="N6" i="8" s="1"/>
  <c r="C5" i="8"/>
  <c r="N5" i="8" s="1"/>
  <c r="C21" i="6"/>
  <c r="N21" i="6" s="1"/>
  <c r="C20" i="6"/>
  <c r="N20" i="6" s="1"/>
  <c r="C19" i="6"/>
  <c r="N19" i="6" s="1"/>
  <c r="C18" i="6"/>
  <c r="N18" i="6" s="1"/>
  <c r="C17" i="6"/>
  <c r="N17" i="6" s="1"/>
  <c r="C16" i="6"/>
  <c r="N16" i="6" s="1"/>
  <c r="C15" i="6"/>
  <c r="N15" i="6" s="1"/>
  <c r="C14" i="6"/>
  <c r="N14" i="6" s="1"/>
  <c r="C13" i="6"/>
  <c r="N13" i="6" s="1"/>
  <c r="C12" i="6"/>
  <c r="N12" i="6" s="1"/>
  <c r="C11" i="6"/>
  <c r="N11" i="6" s="1"/>
  <c r="C10" i="6"/>
  <c r="N10" i="6" s="1"/>
  <c r="C9" i="6"/>
  <c r="N9" i="6" s="1"/>
  <c r="C8" i="6"/>
  <c r="N8" i="6" s="1"/>
  <c r="C7" i="6"/>
  <c r="N7" i="6" s="1"/>
  <c r="C6" i="6"/>
  <c r="N6" i="6" s="1"/>
  <c r="C5" i="6"/>
  <c r="N5" i="6" s="1"/>
  <c r="C4" i="6"/>
  <c r="N4" i="6" s="1"/>
  <c r="C21" i="5"/>
  <c r="N21" i="5" s="1"/>
  <c r="C20" i="5"/>
  <c r="N20" i="5" s="1"/>
  <c r="C19" i="5"/>
  <c r="N19" i="5" s="1"/>
  <c r="C18" i="5"/>
  <c r="N18" i="5" s="1"/>
  <c r="C17" i="5"/>
  <c r="N17" i="5" s="1"/>
  <c r="C16" i="5"/>
  <c r="N16" i="5" s="1"/>
  <c r="C15" i="5"/>
  <c r="N15" i="5" s="1"/>
  <c r="C14" i="5"/>
  <c r="N14" i="5" s="1"/>
  <c r="C13" i="5"/>
  <c r="N13" i="5" s="1"/>
  <c r="C12" i="5"/>
  <c r="N12" i="5" s="1"/>
  <c r="C11" i="5"/>
  <c r="N11" i="5" s="1"/>
  <c r="C10" i="5"/>
  <c r="N10" i="5" s="1"/>
  <c r="C9" i="5"/>
  <c r="N9" i="5" s="1"/>
  <c r="C8" i="5"/>
  <c r="N8" i="5" s="1"/>
  <c r="C7" i="5"/>
  <c r="N7" i="5" s="1"/>
  <c r="C6" i="5"/>
  <c r="N6" i="5" s="1"/>
  <c r="C5" i="5"/>
  <c r="N5" i="5" s="1"/>
  <c r="C4" i="5"/>
  <c r="N4" i="5" s="1"/>
  <c r="C21" i="4"/>
  <c r="N21" i="4" s="1"/>
  <c r="C20" i="4"/>
  <c r="N20" i="4" s="1"/>
  <c r="C19" i="4"/>
  <c r="N19" i="4" s="1"/>
  <c r="C18" i="4"/>
  <c r="N18" i="4" s="1"/>
  <c r="C17" i="4"/>
  <c r="N17" i="4" s="1"/>
  <c r="C16" i="4"/>
  <c r="N16" i="4" s="1"/>
  <c r="C15" i="4"/>
  <c r="N15" i="4" s="1"/>
  <c r="C14" i="4"/>
  <c r="N14" i="4" s="1"/>
  <c r="C13" i="4"/>
  <c r="N13" i="4" s="1"/>
  <c r="C12" i="4"/>
  <c r="N12" i="4" s="1"/>
  <c r="C11" i="4"/>
  <c r="N11" i="4" s="1"/>
  <c r="C10" i="4"/>
  <c r="N10" i="4" s="1"/>
  <c r="C9" i="4"/>
  <c r="N9" i="4" s="1"/>
  <c r="C8" i="4"/>
  <c r="N8" i="4" s="1"/>
  <c r="C7" i="4"/>
  <c r="N7" i="4" s="1"/>
  <c r="C6" i="4"/>
  <c r="N6" i="4" s="1"/>
  <c r="C5" i="4"/>
  <c r="N5" i="4" s="1"/>
  <c r="C4" i="4"/>
  <c r="N4" i="4" s="1"/>
  <c r="C21" i="3"/>
  <c r="N21" i="3" s="1"/>
  <c r="C20" i="3"/>
  <c r="N20" i="3" s="1"/>
  <c r="C19" i="3"/>
  <c r="N19" i="3" s="1"/>
  <c r="C18" i="3"/>
  <c r="N18" i="3" s="1"/>
  <c r="C17" i="3"/>
  <c r="N17" i="3" s="1"/>
  <c r="C16" i="3"/>
  <c r="N16" i="3" s="1"/>
  <c r="C15" i="3"/>
  <c r="N15" i="3" s="1"/>
  <c r="C14" i="3"/>
  <c r="N14" i="3" s="1"/>
  <c r="C13" i="3"/>
  <c r="N13" i="3" s="1"/>
  <c r="C12" i="3"/>
  <c r="N12" i="3" s="1"/>
  <c r="C11" i="3"/>
  <c r="N11" i="3" s="1"/>
  <c r="C10" i="3"/>
  <c r="N10" i="3" s="1"/>
  <c r="C9" i="3"/>
  <c r="N9" i="3" s="1"/>
  <c r="C8" i="3"/>
  <c r="N8" i="3" s="1"/>
  <c r="C7" i="3"/>
  <c r="N7" i="3" s="1"/>
  <c r="C6" i="3"/>
  <c r="N6" i="3" s="1"/>
  <c r="C5" i="3"/>
  <c r="N5" i="3" s="1"/>
  <c r="C4" i="3"/>
  <c r="N4" i="3" s="1"/>
  <c r="C22" i="2"/>
  <c r="N22" i="2" s="1"/>
  <c r="M24" i="2" s="1"/>
  <c r="C21" i="2"/>
  <c r="N21" i="2" s="1"/>
  <c r="C20" i="2"/>
  <c r="N20" i="2" s="1"/>
  <c r="C19" i="2"/>
  <c r="N19" i="2" s="1"/>
  <c r="C18" i="2"/>
  <c r="N18" i="2" s="1"/>
  <c r="C17" i="2"/>
  <c r="N17" i="2" s="1"/>
  <c r="C16" i="2"/>
  <c r="N16" i="2" s="1"/>
  <c r="C15" i="2"/>
  <c r="N15" i="2" s="1"/>
  <c r="C14" i="2"/>
  <c r="N14" i="2" s="1"/>
  <c r="C13" i="2"/>
  <c r="N13" i="2" s="1"/>
  <c r="C12" i="2"/>
  <c r="N12" i="2" s="1"/>
  <c r="C11" i="2"/>
  <c r="N11" i="2" s="1"/>
  <c r="C10" i="2"/>
  <c r="N10" i="2" s="1"/>
  <c r="C9" i="2"/>
  <c r="N9" i="2" s="1"/>
  <c r="C8" i="2"/>
  <c r="N8" i="2" s="1"/>
  <c r="C7" i="2"/>
  <c r="N7" i="2" s="1"/>
  <c r="C6" i="2"/>
  <c r="N6" i="2" s="1"/>
  <c r="C5" i="2"/>
  <c r="N5" i="2" s="1"/>
  <c r="C4" i="2"/>
  <c r="N4" i="2" s="1"/>
  <c r="C21" i="1"/>
  <c r="N21" i="1" s="1"/>
  <c r="C20" i="1"/>
  <c r="N20" i="1" s="1"/>
  <c r="C19" i="1"/>
  <c r="N19" i="1" s="1"/>
  <c r="C18" i="1"/>
  <c r="N18" i="1" s="1"/>
  <c r="C17" i="1"/>
  <c r="N17" i="1" s="1"/>
  <c r="C16" i="1"/>
  <c r="N16" i="1" s="1"/>
  <c r="C15" i="1"/>
  <c r="N15" i="1" s="1"/>
  <c r="C14" i="1"/>
  <c r="N14" i="1" s="1"/>
  <c r="C13" i="1"/>
  <c r="N13" i="1" s="1"/>
  <c r="C12" i="1"/>
  <c r="N12" i="1" s="1"/>
  <c r="C11" i="1"/>
  <c r="N11" i="1" s="1"/>
  <c r="C10" i="1"/>
  <c r="N10" i="1" s="1"/>
  <c r="C9" i="1"/>
  <c r="N9" i="1" s="1"/>
  <c r="C8" i="1"/>
  <c r="N8" i="1" s="1"/>
  <c r="C7" i="1"/>
  <c r="N7" i="1" s="1"/>
  <c r="C6" i="1"/>
  <c r="N6" i="1" s="1"/>
  <c r="C5" i="1"/>
  <c r="N5" i="1" s="1"/>
  <c r="C22" i="6" l="1"/>
  <c r="D18" i="8"/>
  <c r="G7" i="47"/>
  <c r="I19" i="47"/>
  <c r="F19" i="47"/>
  <c r="E19" i="47"/>
  <c r="D19" i="47"/>
  <c r="C19" i="47"/>
  <c r="C18" i="47" s="1"/>
  <c r="C13" i="17"/>
  <c r="C12" i="17"/>
  <c r="C28" i="10"/>
  <c r="C28" i="5"/>
  <c r="C28" i="4"/>
  <c r="C28" i="3"/>
  <c r="C28" i="2"/>
  <c r="C28" i="1"/>
  <c r="I28" i="1" s="1"/>
  <c r="K7" i="47" l="1"/>
  <c r="G6" i="47"/>
  <c r="C30" i="1"/>
  <c r="M28" i="1"/>
  <c r="H30" i="1"/>
  <c r="I30" i="1"/>
  <c r="E30" i="1"/>
  <c r="G30" i="1"/>
  <c r="F30" i="1"/>
  <c r="D30" i="1"/>
  <c r="G19" i="47"/>
  <c r="I23" i="47"/>
  <c r="I18" i="47" s="1"/>
  <c r="E23" i="47"/>
  <c r="E18" i="47" s="1"/>
  <c r="F23" i="47"/>
  <c r="F18" i="47" s="1"/>
  <c r="D23" i="47"/>
  <c r="D18" i="47" s="1"/>
  <c r="G13" i="17"/>
  <c r="I13" i="17" s="1"/>
  <c r="N13" i="17" s="1"/>
  <c r="G12" i="17"/>
  <c r="I12" i="17" s="1"/>
  <c r="N12" i="17" s="1"/>
  <c r="G28" i="10"/>
  <c r="G28" i="6"/>
  <c r="G28" i="5"/>
  <c r="G28" i="4"/>
  <c r="G28" i="3"/>
  <c r="I28" i="3" s="1"/>
  <c r="G28" i="2"/>
  <c r="I28" i="2" s="1"/>
  <c r="I30" i="3" l="1"/>
  <c r="M28" i="3"/>
  <c r="H30" i="3"/>
  <c r="E30" i="3"/>
  <c r="F30" i="3"/>
  <c r="D30" i="3"/>
  <c r="C30" i="3"/>
  <c r="I30" i="2"/>
  <c r="M28" i="2"/>
  <c r="H30" i="2"/>
  <c r="F30" i="2"/>
  <c r="E30" i="2"/>
  <c r="D30" i="2"/>
  <c r="I28" i="4"/>
  <c r="I28" i="10"/>
  <c r="I28" i="5"/>
  <c r="G30" i="3"/>
  <c r="G30" i="2"/>
  <c r="I28" i="6"/>
  <c r="K19" i="47"/>
  <c r="C30" i="2"/>
  <c r="G23" i="47"/>
  <c r="K23" i="47" s="1"/>
  <c r="M13" i="17"/>
  <c r="I30" i="4" l="1"/>
  <c r="M28" i="4"/>
  <c r="H30" i="4"/>
  <c r="F30" i="4"/>
  <c r="E30" i="4"/>
  <c r="D30" i="4"/>
  <c r="C30" i="4"/>
  <c r="I30" i="6"/>
  <c r="H30" i="6"/>
  <c r="M28" i="6"/>
  <c r="E30" i="6"/>
  <c r="F30" i="6"/>
  <c r="D30" i="6"/>
  <c r="C30" i="6"/>
  <c r="I30" i="5"/>
  <c r="M28" i="5"/>
  <c r="H30" i="5"/>
  <c r="E30" i="5"/>
  <c r="F30" i="5"/>
  <c r="D30" i="5"/>
  <c r="C30" i="5"/>
  <c r="G30" i="4"/>
  <c r="G30" i="6"/>
  <c r="I30" i="10"/>
  <c r="H30" i="10"/>
  <c r="M28" i="10"/>
  <c r="E30" i="10"/>
  <c r="F30" i="10"/>
  <c r="D30" i="10"/>
  <c r="C30" i="10"/>
  <c r="G30" i="10"/>
  <c r="G18" i="47"/>
  <c r="G30" i="5"/>
  <c r="O13" i="17"/>
  <c r="K21" i="47"/>
  <c r="N22" i="6" l="1"/>
  <c r="M24" i="6" s="1"/>
  <c r="E24" i="2"/>
  <c r="H24" i="2"/>
  <c r="L24" i="2"/>
  <c r="I24" i="2"/>
  <c r="J24" i="2"/>
  <c r="N19" i="9"/>
  <c r="M21" i="9" s="1"/>
  <c r="E22" i="10"/>
  <c r="N22" i="3" l="1"/>
  <c r="N22" i="4"/>
  <c r="M12" i="17"/>
  <c r="N18" i="8"/>
  <c r="D20" i="8" l="1"/>
  <c r="M20" i="8"/>
  <c r="K24" i="3"/>
  <c r="M24" i="3"/>
  <c r="K24" i="4"/>
  <c r="M24" i="4"/>
  <c r="O12" i="17"/>
  <c r="G25" i="47"/>
  <c r="K9" i="47" l="1"/>
  <c r="C30" i="30"/>
  <c r="L30" i="30" l="1"/>
  <c r="K22" i="47" l="1"/>
  <c r="K18" i="47" s="1"/>
  <c r="L22" i="10" l="1"/>
  <c r="K14" i="47" l="1"/>
  <c r="K12" i="47"/>
  <c r="K11" i="47"/>
  <c r="K10" i="47"/>
  <c r="J25" i="47"/>
  <c r="I25" i="47"/>
  <c r="H25" i="47"/>
  <c r="F25" i="47"/>
  <c r="E25" i="47"/>
  <c r="D25" i="47"/>
  <c r="C25" i="47"/>
  <c r="J22" i="10"/>
  <c r="I22" i="10"/>
  <c r="H22" i="10"/>
  <c r="G22" i="10"/>
  <c r="F22" i="10"/>
  <c r="D22" i="10"/>
  <c r="C22" i="10"/>
  <c r="L29" i="29"/>
  <c r="J29" i="29"/>
  <c r="I29" i="29"/>
  <c r="H29" i="29"/>
  <c r="G29" i="29"/>
  <c r="F29" i="29"/>
  <c r="E29" i="29"/>
  <c r="D29" i="29"/>
  <c r="C29" i="29"/>
  <c r="L13" i="29"/>
  <c r="J13" i="29"/>
  <c r="I13" i="29"/>
  <c r="H13" i="29"/>
  <c r="G13" i="29"/>
  <c r="F13" i="29"/>
  <c r="E13" i="29"/>
  <c r="D13" i="29"/>
  <c r="C13" i="29"/>
  <c r="J30" i="30"/>
  <c r="I30" i="30"/>
  <c r="H30" i="30"/>
  <c r="G30" i="30"/>
  <c r="E30" i="30"/>
  <c r="D30" i="30"/>
  <c r="L13" i="30"/>
  <c r="J13" i="30"/>
  <c r="I13" i="30"/>
  <c r="H13" i="30"/>
  <c r="G13" i="30"/>
  <c r="F13" i="30"/>
  <c r="E13" i="30"/>
  <c r="D13" i="30"/>
  <c r="C13" i="30"/>
  <c r="F18" i="31"/>
  <c r="E18" i="31"/>
  <c r="D18" i="31"/>
  <c r="C18" i="31"/>
  <c r="L18" i="32"/>
  <c r="J18" i="32"/>
  <c r="I18" i="32"/>
  <c r="H18" i="32"/>
  <c r="G18" i="32"/>
  <c r="F18" i="32"/>
  <c r="E18" i="32"/>
  <c r="D18" i="32"/>
  <c r="C18" i="32"/>
  <c r="L29" i="53"/>
  <c r="J29" i="53"/>
  <c r="I29" i="53"/>
  <c r="H29" i="53"/>
  <c r="G29" i="53"/>
  <c r="F29" i="53"/>
  <c r="E29" i="53"/>
  <c r="D29" i="53"/>
  <c r="C29" i="53"/>
  <c r="L13" i="53"/>
  <c r="J13" i="53"/>
  <c r="I13" i="53"/>
  <c r="H13" i="53"/>
  <c r="G13" i="53"/>
  <c r="F13" i="53"/>
  <c r="E13" i="53"/>
  <c r="D13" i="53"/>
  <c r="C13" i="53"/>
  <c r="L30" i="12"/>
  <c r="I30" i="12"/>
  <c r="G30" i="12"/>
  <c r="F30" i="12"/>
  <c r="E30" i="12"/>
  <c r="D30" i="12"/>
  <c r="C30" i="12"/>
  <c r="L13" i="12"/>
  <c r="J13" i="12"/>
  <c r="I13" i="12"/>
  <c r="H13" i="12"/>
  <c r="G13" i="12"/>
  <c r="F13" i="12"/>
  <c r="E13" i="12"/>
  <c r="D13" i="12"/>
  <c r="C13" i="12"/>
  <c r="L19" i="9"/>
  <c r="J19" i="9"/>
  <c r="I19" i="9"/>
  <c r="H19" i="9"/>
  <c r="G19" i="9"/>
  <c r="F19" i="9"/>
  <c r="E19" i="9"/>
  <c r="E21" i="9" s="1"/>
  <c r="D19" i="9"/>
  <c r="C19" i="9"/>
  <c r="L18" i="8"/>
  <c r="J18" i="8"/>
  <c r="J20" i="8" s="1"/>
  <c r="I18" i="8"/>
  <c r="H18" i="8"/>
  <c r="H20" i="8" s="1"/>
  <c r="G18" i="8"/>
  <c r="F18" i="8"/>
  <c r="E18" i="8"/>
  <c r="C18" i="8"/>
  <c r="L22" i="6"/>
  <c r="J22" i="6"/>
  <c r="J24" i="6" s="1"/>
  <c r="H22" i="6"/>
  <c r="H24" i="6" s="1"/>
  <c r="G22" i="6"/>
  <c r="F22" i="6"/>
  <c r="F24" i="6" s="1"/>
  <c r="E22" i="6"/>
  <c r="E24" i="6" s="1"/>
  <c r="D22" i="6"/>
  <c r="L22" i="5"/>
  <c r="J22" i="5"/>
  <c r="H22" i="5"/>
  <c r="G22" i="5"/>
  <c r="F22" i="5"/>
  <c r="D22" i="5"/>
  <c r="C22" i="5"/>
  <c r="L22" i="4"/>
  <c r="J22" i="4"/>
  <c r="H22" i="4"/>
  <c r="G22" i="4"/>
  <c r="F22" i="4"/>
  <c r="E22" i="4"/>
  <c r="E24" i="4" s="1"/>
  <c r="D22" i="4"/>
  <c r="C22" i="4"/>
  <c r="L22" i="3"/>
  <c r="J22" i="3"/>
  <c r="G22" i="3"/>
  <c r="E22" i="3"/>
  <c r="D22" i="3"/>
  <c r="C22" i="3"/>
  <c r="D22" i="1"/>
  <c r="C22" i="1"/>
  <c r="N22" i="1" l="1"/>
  <c r="K6" i="47"/>
  <c r="K25" i="47" s="1"/>
  <c r="N22" i="10"/>
  <c r="M24" i="10" s="1"/>
  <c r="N29" i="53"/>
  <c r="M31" i="53" s="1"/>
  <c r="N22" i="5"/>
  <c r="L24" i="5" s="1"/>
  <c r="N13" i="53"/>
  <c r="M15" i="53" s="1"/>
  <c r="N18" i="32"/>
  <c r="M20" i="32" s="1"/>
  <c r="N13" i="29"/>
  <c r="M15" i="29" s="1"/>
  <c r="N29" i="29"/>
  <c r="M31" i="29" s="1"/>
  <c r="N30" i="30"/>
  <c r="N13" i="30"/>
  <c r="M16" i="30" s="1"/>
  <c r="N18" i="31"/>
  <c r="N30" i="12"/>
  <c r="M32" i="12" s="1"/>
  <c r="N13" i="12"/>
  <c r="M15" i="12" s="1"/>
  <c r="D24" i="4"/>
  <c r="D24" i="3"/>
  <c r="C24" i="2"/>
  <c r="M27" i="2"/>
  <c r="M29" i="2" s="1"/>
  <c r="D24" i="2"/>
  <c r="F24" i="2"/>
  <c r="G24" i="2"/>
  <c r="K24" i="2"/>
  <c r="M20" i="31" l="1"/>
  <c r="H20" i="31"/>
  <c r="L20" i="31"/>
  <c r="I20" i="31"/>
  <c r="J20" i="31"/>
  <c r="G20" i="31"/>
  <c r="K20" i="31"/>
  <c r="M27" i="1"/>
  <c r="N24" i="1"/>
  <c r="M24" i="1"/>
  <c r="L24" i="1"/>
  <c r="J24" i="1"/>
  <c r="I24" i="1"/>
  <c r="K24" i="1"/>
  <c r="H24" i="1"/>
  <c r="G24" i="1"/>
  <c r="E24" i="1"/>
  <c r="F24" i="1"/>
  <c r="C24" i="1"/>
  <c r="D24" i="1"/>
  <c r="M27" i="5"/>
  <c r="C24" i="5"/>
  <c r="G32" i="30"/>
  <c r="M32" i="30"/>
  <c r="M24" i="5"/>
  <c r="K24" i="5"/>
  <c r="E24" i="5"/>
  <c r="I24" i="5"/>
  <c r="F24" i="5"/>
  <c r="N24" i="2"/>
  <c r="G24" i="5"/>
  <c r="J24" i="5"/>
  <c r="H24" i="5"/>
  <c r="D24" i="5"/>
  <c r="E24" i="10"/>
  <c r="K24" i="10"/>
  <c r="K31" i="29"/>
  <c r="E15" i="29"/>
  <c r="C15" i="29"/>
  <c r="K15" i="29"/>
  <c r="D24" i="10"/>
  <c r="E32" i="12"/>
  <c r="N27" i="2"/>
  <c r="M27" i="6"/>
  <c r="I24" i="6"/>
  <c r="F15" i="29"/>
  <c r="H15" i="29"/>
  <c r="D15" i="29"/>
  <c r="I15" i="29"/>
  <c r="L15" i="29"/>
  <c r="G15" i="29"/>
  <c r="J15" i="29"/>
  <c r="H31" i="29"/>
  <c r="D31" i="29"/>
  <c r="L31" i="29"/>
  <c r="J31" i="29"/>
  <c r="E31" i="29"/>
  <c r="I31" i="29"/>
  <c r="C31" i="29"/>
  <c r="G31" i="29"/>
  <c r="F31" i="29"/>
  <c r="G24" i="6"/>
  <c r="K24" i="6"/>
  <c r="D24" i="6"/>
  <c r="C15" i="12"/>
  <c r="J24" i="10"/>
  <c r="C24" i="10"/>
  <c r="D20" i="32"/>
  <c r="L20" i="8"/>
  <c r="K20" i="8"/>
  <c r="E20" i="8"/>
  <c r="G20" i="8"/>
  <c r="C24" i="6"/>
  <c r="L24" i="6"/>
  <c r="C16" i="30"/>
  <c r="C20" i="8"/>
  <c r="I20" i="8"/>
  <c r="H24" i="10"/>
  <c r="M27" i="10"/>
  <c r="L24" i="3"/>
  <c r="H24" i="3"/>
  <c r="D31" i="53"/>
  <c r="C15" i="53"/>
  <c r="J24" i="3"/>
  <c r="E24" i="3"/>
  <c r="C24" i="3"/>
  <c r="M27" i="3"/>
  <c r="M29" i="3" s="1"/>
  <c r="N29" i="3" s="1"/>
  <c r="G16" i="30"/>
  <c r="J31" i="53"/>
  <c r="E31" i="53"/>
  <c r="C31" i="53"/>
  <c r="L31" i="53"/>
  <c r="H31" i="53"/>
  <c r="I31" i="53"/>
  <c r="L32" i="12"/>
  <c r="H32" i="12"/>
  <c r="J32" i="12"/>
  <c r="D32" i="12"/>
  <c r="L21" i="9"/>
  <c r="F20" i="8"/>
  <c r="L24" i="4"/>
  <c r="J24" i="4"/>
  <c r="H24" i="4"/>
  <c r="I24" i="3"/>
  <c r="G24" i="3"/>
  <c r="F24" i="3"/>
  <c r="J32" i="30"/>
  <c r="K16" i="30"/>
  <c r="L16" i="30"/>
  <c r="L20" i="32"/>
  <c r="E20" i="32"/>
  <c r="H20" i="32"/>
  <c r="K20" i="32"/>
  <c r="G20" i="32"/>
  <c r="K15" i="53"/>
  <c r="J15" i="53"/>
  <c r="G15" i="53"/>
  <c r="L15" i="12"/>
  <c r="J15" i="12"/>
  <c r="H15" i="12"/>
  <c r="E15" i="12"/>
  <c r="K15" i="12"/>
  <c r="J21" i="9"/>
  <c r="H21" i="9"/>
  <c r="C21" i="9"/>
  <c r="K21" i="9"/>
  <c r="I21" i="9"/>
  <c r="D21" i="9"/>
  <c r="C24" i="4"/>
  <c r="N24" i="4"/>
  <c r="M27" i="4"/>
  <c r="L24" i="10"/>
  <c r="L32" i="30"/>
  <c r="H32" i="30"/>
  <c r="C32" i="30"/>
  <c r="D32" i="30"/>
  <c r="E32" i="30"/>
  <c r="F32" i="30"/>
  <c r="I32" i="30"/>
  <c r="I16" i="30"/>
  <c r="F16" i="30"/>
  <c r="H16" i="30"/>
  <c r="D16" i="30"/>
  <c r="J16" i="30"/>
  <c r="E16" i="30"/>
  <c r="K31" i="53"/>
  <c r="G31" i="53"/>
  <c r="F31" i="53"/>
  <c r="C32" i="12"/>
  <c r="K32" i="12"/>
  <c r="I32" i="12"/>
  <c r="G32" i="12"/>
  <c r="F32" i="12"/>
  <c r="I15" i="12"/>
  <c r="G21" i="9"/>
  <c r="I24" i="4"/>
  <c r="I24" i="10"/>
  <c r="G24" i="10"/>
  <c r="F24" i="10"/>
  <c r="K32" i="30"/>
  <c r="D20" i="31"/>
  <c r="F20" i="31"/>
  <c r="E20" i="31"/>
  <c r="C20" i="31"/>
  <c r="J20" i="32"/>
  <c r="C20" i="32"/>
  <c r="I20" i="32"/>
  <c r="F20" i="32"/>
  <c r="L15" i="53"/>
  <c r="H15" i="53"/>
  <c r="E15" i="53"/>
  <c r="I15" i="53"/>
  <c r="F15" i="53"/>
  <c r="D15" i="53"/>
  <c r="F15" i="12"/>
  <c r="G15" i="12"/>
  <c r="D15" i="12"/>
  <c r="F21" i="9"/>
  <c r="G24" i="4"/>
  <c r="F24" i="4"/>
  <c r="M29" i="5"/>
  <c r="N29" i="5" s="1"/>
  <c r="N16" i="30" l="1"/>
  <c r="N24" i="10"/>
  <c r="N15" i="29"/>
  <c r="N31" i="29"/>
  <c r="N32" i="30"/>
  <c r="N24" i="5"/>
  <c r="N20" i="32"/>
  <c r="N20" i="31"/>
  <c r="N21" i="9"/>
  <c r="N31" i="53"/>
  <c r="N20" i="8"/>
  <c r="N32" i="12"/>
  <c r="N24" i="3"/>
  <c r="N15" i="53"/>
  <c r="N15" i="12"/>
  <c r="N24" i="6"/>
  <c r="M29" i="4"/>
  <c r="N27" i="4" s="1"/>
  <c r="M29" i="10"/>
  <c r="N27" i="10" s="1"/>
  <c r="M29" i="6"/>
  <c r="N27" i="6" s="1"/>
  <c r="M29" i="1"/>
  <c r="N29" i="2"/>
  <c r="N28" i="2"/>
  <c r="N27" i="3"/>
  <c r="N28" i="3"/>
  <c r="N27" i="5"/>
  <c r="N28" i="5"/>
  <c r="N29" i="10" l="1"/>
  <c r="N28" i="10"/>
  <c r="N29" i="1"/>
  <c r="N28" i="1"/>
  <c r="N27" i="1"/>
  <c r="N29" i="6"/>
  <c r="N28" i="6"/>
  <c r="N29" i="4"/>
  <c r="N28" i="4"/>
</calcChain>
</file>

<file path=xl/sharedStrings.xml><?xml version="1.0" encoding="utf-8"?>
<sst xmlns="http://schemas.openxmlformats.org/spreadsheetml/2006/main" count="878" uniqueCount="121">
  <si>
    <t>Ред.   бр.</t>
  </si>
  <si>
    <t>Класа на осигурување</t>
  </si>
  <si>
    <t>неживот</t>
  </si>
  <si>
    <t>Вкупно</t>
  </si>
  <si>
    <t>Триглав</t>
  </si>
  <si>
    <t>Евроинс</t>
  </si>
  <si>
    <t>Сава</t>
  </si>
  <si>
    <t>Винер</t>
  </si>
  <si>
    <t>Еуролинк</t>
  </si>
  <si>
    <t>Уника</t>
  </si>
  <si>
    <t>Ос.Полиса</t>
  </si>
  <si>
    <t>Кроација</t>
  </si>
  <si>
    <t>Незгода</t>
  </si>
  <si>
    <t>Здравствено осигурување</t>
  </si>
  <si>
    <t>Моторни возила - каско</t>
  </si>
  <si>
    <t>Шински возила - каско</t>
  </si>
  <si>
    <t>Воздухоплови - каско</t>
  </si>
  <si>
    <t>Пловни објекти - каско</t>
  </si>
  <si>
    <t>Стока во превоз - карго</t>
  </si>
  <si>
    <t>Имот од пожари и други непогоди</t>
  </si>
  <si>
    <t xml:space="preserve">Останати осигурувања на имот </t>
  </si>
  <si>
    <t>АО (вкупно )</t>
  </si>
  <si>
    <t>Одговорност воздухоплови</t>
  </si>
  <si>
    <t>Одговорност пловни објекти</t>
  </si>
  <si>
    <t xml:space="preserve">Општо осигурување од одговорност </t>
  </si>
  <si>
    <t>Осигурување на кредити</t>
  </si>
  <si>
    <t>Осигурување на гаранции</t>
  </si>
  <si>
    <t>Осигурување од финансиски загуби</t>
  </si>
  <si>
    <t>Осигурување на правна заштита</t>
  </si>
  <si>
    <t>Осигурување на туристичка помош</t>
  </si>
  <si>
    <t xml:space="preserve">Вкупно  </t>
  </si>
  <si>
    <t xml:space="preserve">% по друштво за неживотно осигурување </t>
  </si>
  <si>
    <t>Граве</t>
  </si>
  <si>
    <t>Неживот</t>
  </si>
  <si>
    <t>Живот</t>
  </si>
  <si>
    <t xml:space="preserve">% по друштво за животно осигурување </t>
  </si>
  <si>
    <t>во 000 мкд</t>
  </si>
  <si>
    <t xml:space="preserve">Вкупно </t>
  </si>
  <si>
    <t>Ос.полиса</t>
  </si>
  <si>
    <t>Патнички автомобили</t>
  </si>
  <si>
    <t>Товарни возила</t>
  </si>
  <si>
    <t>Автобуси</t>
  </si>
  <si>
    <t>Влечни возила</t>
  </si>
  <si>
    <t>Специјални возила</t>
  </si>
  <si>
    <t>Моторцикли и скутери</t>
  </si>
  <si>
    <t>Приклучни возила</t>
  </si>
  <si>
    <t>Работни моторни возила</t>
  </si>
  <si>
    <t>Возила за време на пробни возења и престој во складишта</t>
  </si>
  <si>
    <t>Возила за време на доопремување на сопствени оски (пер акс)</t>
  </si>
  <si>
    <t>Моторни возила со пробни таблици</t>
  </si>
  <si>
    <t>Возила за време на поправка во автомеханичарски и авторемонтни работилници и во работилници за перење и подмачкување</t>
  </si>
  <si>
    <t>Возила со посебни регистарски ознаки кои се во промет на територија на РМ</t>
  </si>
  <si>
    <t>000 мкд</t>
  </si>
  <si>
    <t xml:space="preserve">% </t>
  </si>
  <si>
    <t xml:space="preserve">Вкупно ЗК </t>
  </si>
  <si>
    <t>Вкупно (неживот)</t>
  </si>
  <si>
    <t>Вкупно (живот)</t>
  </si>
  <si>
    <t>Друштво за осигурување</t>
  </si>
  <si>
    <t>Трошоци за провизија</t>
  </si>
  <si>
    <t>Резерви за настанати и пријавени штети</t>
  </si>
  <si>
    <t>Резерви за настанати но непријавени штети</t>
  </si>
  <si>
    <t>Број на штети</t>
  </si>
  <si>
    <t>Исплатени износи</t>
  </si>
  <si>
    <t>Број на резервирани штети</t>
  </si>
  <si>
    <t>Неосигурени возила</t>
  </si>
  <si>
    <t>Непознати возила</t>
  </si>
  <si>
    <t>Останати услужни штети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</si>
  <si>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</si>
  <si>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Општа одговорност </t>
  </si>
  <si>
    <t>Македонија</t>
  </si>
  <si>
    <t xml:space="preserve">Директна продажба </t>
  </si>
  <si>
    <t>Осиг. брокерски друштва</t>
  </si>
  <si>
    <t>Друштва за застапување</t>
  </si>
  <si>
    <t>Туристички агенции</t>
  </si>
  <si>
    <t xml:space="preserve">Авто салони </t>
  </si>
  <si>
    <t>Банки</t>
  </si>
  <si>
    <t>Број на склучени договори</t>
  </si>
  <si>
    <t xml:space="preserve">Бруто полисирана премија </t>
  </si>
  <si>
    <t>Застапници во осигурување</t>
  </si>
  <si>
    <t>Останати дистрибутивни канали</t>
  </si>
  <si>
    <t>Математичка резерва</t>
  </si>
  <si>
    <t>Резерви на штети</t>
  </si>
  <si>
    <t>Ред.           бр.</t>
  </si>
  <si>
    <t>Резерви за преносна премија</t>
  </si>
  <si>
    <t>Резерви за бонуси и попусти</t>
  </si>
  <si>
    <t>Резерви за штети</t>
  </si>
  <si>
    <t>Еквилизациона резерва</t>
  </si>
  <si>
    <t>Други технички резерви</t>
  </si>
  <si>
    <t>Вкупно резерви за штети</t>
  </si>
  <si>
    <t>Друштво</t>
  </si>
  <si>
    <t>живот</t>
  </si>
  <si>
    <t xml:space="preserve"> Во 000 мкд</t>
  </si>
  <si>
    <t>Во 000 мкд</t>
  </si>
  <si>
    <t>Халк</t>
  </si>
  <si>
    <t>Граве н.</t>
  </si>
  <si>
    <t>Прва живот</t>
  </si>
  <si>
    <t>Зоил</t>
  </si>
  <si>
    <t>Бруто полисирана премија за период од 01.01.2025 до 30.06.2025</t>
  </si>
  <si>
    <t>Број на договори за период од 01.01.2025 до 30.06.2025</t>
  </si>
  <si>
    <t>Бруто исплатени (ликвидирани) штети за период од 01.01.2025 до 30.06.2025</t>
  </si>
  <si>
    <t>Број исплатени (ликвидирани) штети за период од 01.01.2025 до 30.06.2025</t>
  </si>
  <si>
    <t>Број на резервирани штети за период од 01.01.2025 до 30.06.2025</t>
  </si>
  <si>
    <t>Бруто резерви за настанати и пријавени штети за период од 01.01.2025 до 30.06.2025</t>
  </si>
  <si>
    <t>Бруто резерви за настанати но непријавени штети за период од 01.01.2025 до 30.06.2025</t>
  </si>
  <si>
    <t>Договори за ЗАО за период од 01.01.2025 до 30.06.2025</t>
  </si>
  <si>
    <t>Премија за ЗАО за период од 01.01.2025 до 30.06.2025</t>
  </si>
  <si>
    <t>Број на Зелена карта за период од 01.01.2025 до 30.06.2025</t>
  </si>
  <si>
    <t>Премија за Зелена карта за период од 01.01.2025 до 30.06.2025</t>
  </si>
  <si>
    <t>Број на Гранично осигурување за период од 01.01.2025 до 30.06.2025</t>
  </si>
  <si>
    <t>Премија за Гранично осигурување за период од 01.01.2025 до 30.06.2025</t>
  </si>
  <si>
    <t>Број на штети од ЗАО за период од 01.01.2025 до 30.06.2025</t>
  </si>
  <si>
    <t>Ликвидирани штети на ЗАО за период од 01.01.2025 до 30.06.2025</t>
  </si>
  <si>
    <t>Број на штети на Зелена карта за период од 01.01.2025 до 30.06.2025</t>
  </si>
  <si>
    <t>Ликвидирани штети за ЗК за период од 01.01.2025 до 30.06.2025</t>
  </si>
  <si>
    <t>Број на штети Гранично осигурување за период од 01.01.2025 до 30.06.2025</t>
  </si>
  <si>
    <t>Ликвидирани штети за Гранично осигурување за период од 01.01.2025 до 30.06.2025</t>
  </si>
  <si>
    <t>Техничка премија за период од 01.01.2025 до 30.06.2025</t>
  </si>
  <si>
    <t xml:space="preserve">          Резерви за настанати и пријавени, непријавени штети за период од 01.01.2025 до 30.06.2025</t>
  </si>
  <si>
    <t>Продажба по канали за период од 01.01.2025 до 30.06.2025 година</t>
  </si>
  <si>
    <t>Бруто технички резерви за периодот од  01.01.2025 до 30.06.2025</t>
  </si>
  <si>
    <t>Неосигурени возила, непознати возила и услужни штети за период од 01.01.2025 до 30.06.2025 година ( Вкупно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</si>
</sst>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name val="Calibri"/>
      <family val="2"/>
      <charset val="204"/>
      <scheme val="minor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0" borderId="0" xfId="1" applyFont="1"/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11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0" fontId="12" fillId="3" borderId="1" xfId="2" applyNumberFormat="1" applyFont="1" applyFill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10" fontId="5" fillId="2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>
      <alignment vertical="center"/>
    </xf>
    <xf numFmtId="0" fontId="6" fillId="0" borderId="0" xfId="0" applyFont="1"/>
    <xf numFmtId="3" fontId="5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4" fillId="0" borderId="0" xfId="0" applyFont="1"/>
    <xf numFmtId="0" fontId="5" fillId="2" borderId="7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/>
    </xf>
    <xf numFmtId="10" fontId="12" fillId="3" borderId="1" xfId="6" applyNumberFormat="1" applyFont="1" applyFill="1" applyBorder="1" applyAlignment="1">
      <alignment vertical="center"/>
    </xf>
    <xf numFmtId="10" fontId="5" fillId="2" borderId="13" xfId="6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10" fontId="5" fillId="3" borderId="13" xfId="6" applyNumberFormat="1" applyFont="1" applyFill="1" applyBorder="1" applyAlignment="1">
      <alignment vertical="center"/>
    </xf>
    <xf numFmtId="10" fontId="12" fillId="2" borderId="1" xfId="6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5" fillId="6" borderId="17" xfId="0" applyFont="1" applyFill="1" applyBorder="1"/>
    <xf numFmtId="0" fontId="5" fillId="6" borderId="0" xfId="0" applyFont="1" applyFill="1" applyBorder="1"/>
    <xf numFmtId="0" fontId="5" fillId="0" borderId="1" xfId="0" applyFont="1" applyBorder="1"/>
    <xf numFmtId="0" fontId="1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10" xfId="1" applyFont="1" applyFill="1" applyBorder="1" applyAlignment="1">
      <alignment vertical="center"/>
    </xf>
    <xf numFmtId="0" fontId="0" fillId="0" borderId="0" xfId="0" applyBorder="1"/>
    <xf numFmtId="10" fontId="12" fillId="2" borderId="1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4" fillId="0" borderId="0" xfId="0" applyFont="1"/>
    <xf numFmtId="3" fontId="2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24" fillId="3" borderId="4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3" fontId="8" fillId="2" borderId="13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3" fillId="3" borderId="7" xfId="0" applyNumberFormat="1" applyFont="1" applyFill="1" applyBorder="1" applyAlignment="1">
      <alignment vertical="center"/>
    </xf>
    <xf numFmtId="3" fontId="23" fillId="2" borderId="9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3" xfId="1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1" fillId="3" borderId="1" xfId="1" applyNumberFormat="1" applyFont="1" applyFill="1" applyBorder="1" applyAlignment="1">
      <alignment vertical="center"/>
    </xf>
    <xf numFmtId="3" fontId="31" fillId="2" borderId="13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10" fontId="5" fillId="3" borderId="1" xfId="6" applyNumberFormat="1" applyFont="1" applyFill="1" applyBorder="1"/>
    <xf numFmtId="0" fontId="32" fillId="0" borderId="0" xfId="0" applyFont="1"/>
    <xf numFmtId="0" fontId="33" fillId="0" borderId="0" xfId="0" applyFont="1"/>
    <xf numFmtId="0" fontId="4" fillId="0" borderId="0" xfId="0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0" fontId="0" fillId="0" borderId="0" xfId="0" applyAlignment="1"/>
    <xf numFmtId="3" fontId="23" fillId="3" borderId="3" xfId="0" applyNumberFormat="1" applyFont="1" applyFill="1" applyBorder="1" applyAlignment="1">
      <alignment vertical="center"/>
    </xf>
    <xf numFmtId="3" fontId="19" fillId="3" borderId="39" xfId="0" applyNumberFormat="1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1" fontId="19" fillId="0" borderId="39" xfId="0" applyNumberFormat="1" applyFont="1" applyBorder="1" applyAlignment="1">
      <alignment vertical="center"/>
    </xf>
    <xf numFmtId="3" fontId="19" fillId="0" borderId="39" xfId="0" applyNumberFormat="1" applyFont="1" applyBorder="1" applyAlignment="1">
      <alignment vertical="center"/>
    </xf>
    <xf numFmtId="3" fontId="19" fillId="0" borderId="40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0" fontId="5" fillId="0" borderId="48" xfId="1" applyFont="1" applyBorder="1" applyAlignment="1">
      <alignment horizontal="center" vertical="center"/>
    </xf>
    <xf numFmtId="0" fontId="6" fillId="2" borderId="42" xfId="1" applyFont="1" applyFill="1" applyBorder="1" applyAlignment="1">
      <alignment vertical="center"/>
    </xf>
    <xf numFmtId="3" fontId="5" fillId="2" borderId="42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2" borderId="43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3" fontId="42" fillId="2" borderId="4" xfId="0" applyNumberFormat="1" applyFont="1" applyFill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8" fillId="2" borderId="17" xfId="0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3" fontId="0" fillId="0" borderId="0" xfId="0" applyNumberFormat="1"/>
    <xf numFmtId="3" fontId="23" fillId="3" borderId="9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42" fillId="7" borderId="49" xfId="0" applyNumberFormat="1" applyFont="1" applyFill="1" applyBorder="1" applyAlignment="1">
      <alignment vertical="center" wrapText="1"/>
    </xf>
    <xf numFmtId="3" fontId="14" fillId="2" borderId="50" xfId="0" applyNumberFormat="1" applyFont="1" applyFill="1" applyBorder="1" applyAlignment="1">
      <alignment vertical="center"/>
    </xf>
    <xf numFmtId="3" fontId="14" fillId="3" borderId="51" xfId="0" applyNumberFormat="1" applyFont="1" applyFill="1" applyBorder="1" applyAlignment="1">
      <alignment vertical="center"/>
    </xf>
    <xf numFmtId="3" fontId="42" fillId="7" borderId="7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52" xfId="0" applyNumberFormat="1" applyFont="1" applyBorder="1" applyAlignment="1">
      <alignment vertical="center"/>
    </xf>
    <xf numFmtId="3" fontId="43" fillId="2" borderId="42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3" fontId="5" fillId="2" borderId="2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/>
    </xf>
    <xf numFmtId="3" fontId="14" fillId="2" borderId="51" xfId="0" applyNumberFormat="1" applyFont="1" applyFill="1" applyBorder="1" applyAlignment="1">
      <alignment vertical="center"/>
    </xf>
    <xf numFmtId="3" fontId="23" fillId="2" borderId="17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4" fillId="0" borderId="39" xfId="0" applyFont="1" applyBorder="1"/>
    <xf numFmtId="4" fontId="0" fillId="0" borderId="39" xfId="0" applyNumberFormat="1" applyBorder="1"/>
    <xf numFmtId="0" fontId="0" fillId="0" borderId="54" xfId="0" applyBorder="1"/>
    <xf numFmtId="3" fontId="23" fillId="2" borderId="39" xfId="0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3" fontId="5" fillId="8" borderId="3" xfId="1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3" fontId="8" fillId="8" borderId="11" xfId="0" applyNumberFormat="1" applyFont="1" applyFill="1" applyBorder="1" applyAlignment="1">
      <alignment vertical="center"/>
    </xf>
    <xf numFmtId="10" fontId="8" fillId="2" borderId="20" xfId="0" applyNumberFormat="1" applyFont="1" applyFill="1" applyBorder="1" applyAlignment="1">
      <alignment vertical="center"/>
    </xf>
    <xf numFmtId="3" fontId="5" fillId="8" borderId="52" xfId="1" applyNumberFormat="1" applyFont="1" applyFill="1" applyBorder="1" applyAlignment="1">
      <alignment vertical="center"/>
    </xf>
    <xf numFmtId="3" fontId="5" fillId="8" borderId="50" xfId="1" applyNumberFormat="1" applyFont="1" applyFill="1" applyBorder="1" applyAlignment="1">
      <alignment vertical="center"/>
    </xf>
    <xf numFmtId="3" fontId="12" fillId="8" borderId="50" xfId="1" applyNumberFormat="1" applyFont="1" applyFill="1" applyBorder="1" applyAlignment="1">
      <alignment vertical="center"/>
    </xf>
    <xf numFmtId="3" fontId="5" fillId="8" borderId="9" xfId="1" applyNumberFormat="1" applyFont="1" applyFill="1" applyBorder="1" applyAlignment="1">
      <alignment vertical="center"/>
    </xf>
    <xf numFmtId="3" fontId="8" fillId="8" borderId="1" xfId="1" applyNumberFormat="1" applyFont="1" applyFill="1" applyBorder="1" applyAlignment="1">
      <alignment vertical="center"/>
    </xf>
    <xf numFmtId="3" fontId="5" fillId="8" borderId="14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10" fontId="5" fillId="8" borderId="1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vertical="center"/>
    </xf>
    <xf numFmtId="3" fontId="8" fillId="8" borderId="14" xfId="0" applyNumberFormat="1" applyFont="1" applyFill="1" applyBorder="1" applyAlignment="1">
      <alignment vertical="center"/>
    </xf>
    <xf numFmtId="10" fontId="5" fillId="8" borderId="1" xfId="6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3" fontId="8" fillId="8" borderId="11" xfId="0" applyNumberFormat="1" applyFont="1" applyFill="1" applyBorder="1" applyAlignment="1">
      <alignment horizontal="right" vertical="center"/>
    </xf>
    <xf numFmtId="164" fontId="5" fillId="8" borderId="1" xfId="6" applyNumberFormat="1" applyFont="1" applyFill="1" applyBorder="1" applyAlignment="1">
      <alignment vertical="center"/>
    </xf>
    <xf numFmtId="10" fontId="5" fillId="8" borderId="14" xfId="6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2" borderId="36" xfId="0" applyNumberFormat="1" applyFont="1" applyFill="1" applyBorder="1" applyAlignment="1">
      <alignment vertical="center"/>
    </xf>
    <xf numFmtId="10" fontId="12" fillId="8" borderId="14" xfId="6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0" fontId="27" fillId="3" borderId="20" xfId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3" fontId="24" fillId="8" borderId="52" xfId="0" applyNumberFormat="1" applyFont="1" applyFill="1" applyBorder="1" applyAlignment="1">
      <alignment vertical="center"/>
    </xf>
    <xf numFmtId="3" fontId="24" fillId="8" borderId="29" xfId="0" applyNumberFormat="1" applyFont="1" applyFill="1" applyBorder="1" applyAlignment="1">
      <alignment vertical="center"/>
    </xf>
    <xf numFmtId="3" fontId="24" fillId="8" borderId="30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8" borderId="6" xfId="0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6" borderId="2" xfId="0" applyFont="1" applyFill="1" applyBorder="1"/>
    <xf numFmtId="0" fontId="2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vertical="center"/>
    </xf>
    <xf numFmtId="3" fontId="7" fillId="8" borderId="1" xfId="0" applyNumberFormat="1" applyFont="1" applyFill="1" applyBorder="1"/>
    <xf numFmtId="3" fontId="7" fillId="8" borderId="1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36" fillId="8" borderId="11" xfId="0" applyNumberFormat="1" applyFont="1" applyFill="1" applyBorder="1" applyAlignment="1">
      <alignment vertical="center"/>
    </xf>
    <xf numFmtId="3" fontId="36" fillId="8" borderId="1" xfId="0" applyNumberFormat="1" applyFont="1" applyFill="1" applyBorder="1" applyAlignment="1">
      <alignment vertical="center"/>
    </xf>
    <xf numFmtId="3" fontId="24" fillId="8" borderId="1" xfId="0" applyNumberFormat="1" applyFont="1" applyFill="1" applyBorder="1"/>
    <xf numFmtId="3" fontId="24" fillId="8" borderId="1" xfId="0" applyNumberFormat="1" applyFont="1" applyFill="1" applyBorder="1" applyAlignment="1">
      <alignment vertical="center"/>
    </xf>
    <xf numFmtId="3" fontId="31" fillId="8" borderId="1" xfId="0" applyNumberFormat="1" applyFont="1" applyFill="1" applyBorder="1" applyAlignment="1">
      <alignment vertical="center"/>
    </xf>
    <xf numFmtId="3" fontId="25" fillId="8" borderId="11" xfId="0" applyNumberFormat="1" applyFont="1" applyFill="1" applyBorder="1" applyAlignment="1">
      <alignment vertical="center"/>
    </xf>
    <xf numFmtId="3" fontId="37" fillId="8" borderId="11" xfId="0" applyNumberFormat="1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23" fillId="3" borderId="55" xfId="0" applyNumberFormat="1" applyFont="1" applyFill="1" applyBorder="1" applyAlignment="1">
      <alignment vertical="center"/>
    </xf>
    <xf numFmtId="0" fontId="5" fillId="0" borderId="30" xfId="0" applyFont="1" applyBorder="1"/>
    <xf numFmtId="3" fontId="5" fillId="0" borderId="30" xfId="0" applyNumberFormat="1" applyFont="1" applyBorder="1"/>
    <xf numFmtId="3" fontId="5" fillId="0" borderId="20" xfId="0" applyNumberFormat="1" applyFont="1" applyBorder="1"/>
    <xf numFmtId="0" fontId="4" fillId="3" borderId="10" xfId="1" applyFont="1" applyFill="1" applyBorder="1" applyAlignment="1">
      <alignment horizontal="center" vertical="center"/>
    </xf>
    <xf numFmtId="3" fontId="5" fillId="3" borderId="22" xfId="1" applyNumberFormat="1" applyFont="1" applyFill="1" applyBorder="1" applyAlignment="1">
      <alignment vertical="center"/>
    </xf>
    <xf numFmtId="3" fontId="24" fillId="2" borderId="15" xfId="1" applyNumberFormat="1" applyFont="1" applyFill="1" applyBorder="1" applyAlignment="1">
      <alignment vertical="center"/>
    </xf>
    <xf numFmtId="3" fontId="5" fillId="2" borderId="39" xfId="1" applyNumberFormat="1" applyFont="1" applyFill="1" applyBorder="1" applyAlignment="1">
      <alignment vertical="center"/>
    </xf>
    <xf numFmtId="3" fontId="5" fillId="2" borderId="36" xfId="1" applyNumberFormat="1" applyFont="1" applyFill="1" applyBorder="1" applyAlignment="1">
      <alignment vertical="center"/>
    </xf>
    <xf numFmtId="0" fontId="4" fillId="2" borderId="42" xfId="1" applyFont="1" applyFill="1" applyBorder="1" applyAlignment="1">
      <alignment horizontal="center" vertical="center"/>
    </xf>
    <xf numFmtId="3" fontId="5" fillId="2" borderId="42" xfId="1" applyNumberFormat="1" applyFont="1" applyFill="1" applyBorder="1" applyAlignment="1">
      <alignment vertical="center"/>
    </xf>
    <xf numFmtId="3" fontId="24" fillId="3" borderId="10" xfId="1" applyNumberFormat="1" applyFont="1" applyFill="1" applyBorder="1" applyAlignment="1">
      <alignment vertical="center"/>
    </xf>
    <xf numFmtId="3" fontId="5" fillId="2" borderId="17" xfId="1" applyNumberFormat="1" applyFont="1" applyFill="1" applyBorder="1" applyAlignment="1">
      <alignment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56" xfId="1" applyNumberFormat="1" applyFont="1" applyFill="1" applyBorder="1" applyAlignment="1">
      <alignment vertical="center"/>
    </xf>
    <xf numFmtId="3" fontId="24" fillId="3" borderId="0" xfId="1" applyNumberFormat="1" applyFont="1" applyFill="1" applyBorder="1" applyAlignment="1">
      <alignment vertical="center"/>
    </xf>
    <xf numFmtId="0" fontId="0" fillId="3" borderId="0" xfId="0" applyFill="1" applyBorder="1"/>
    <xf numFmtId="10" fontId="5" fillId="3" borderId="0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3" fontId="5" fillId="3" borderId="36" xfId="1" applyNumberFormat="1" applyFont="1" applyFill="1" applyBorder="1" applyAlignment="1">
      <alignment vertical="center"/>
    </xf>
    <xf numFmtId="3" fontId="5" fillId="3" borderId="39" xfId="1" applyNumberFormat="1" applyFont="1" applyFill="1" applyBorder="1" applyAlignment="1">
      <alignment vertical="center"/>
    </xf>
    <xf numFmtId="3" fontId="5" fillId="3" borderId="42" xfId="1" applyNumberFormat="1" applyFont="1" applyFill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3" fontId="5" fillId="2" borderId="52" xfId="1" applyNumberFormat="1" applyFont="1" applyFill="1" applyBorder="1" applyAlignment="1">
      <alignment vertical="center"/>
    </xf>
    <xf numFmtId="3" fontId="5" fillId="2" borderId="30" xfId="1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3" fontId="5" fillId="3" borderId="16" xfId="1" applyNumberFormat="1" applyFont="1" applyFill="1" applyBorder="1" applyAlignment="1">
      <alignment vertical="center"/>
    </xf>
    <xf numFmtId="3" fontId="5" fillId="3" borderId="0" xfId="1" applyNumberFormat="1" applyFont="1" applyFill="1" applyBorder="1" applyAlignment="1">
      <alignment vertical="center"/>
    </xf>
    <xf numFmtId="3" fontId="24" fillId="3" borderId="56" xfId="1" applyNumberFormat="1" applyFont="1" applyFill="1" applyBorder="1" applyAlignment="1">
      <alignment vertical="center"/>
    </xf>
    <xf numFmtId="0" fontId="4" fillId="3" borderId="28" xfId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vertical="center"/>
    </xf>
    <xf numFmtId="3" fontId="24" fillId="3" borderId="57" xfId="1" applyNumberFormat="1" applyFont="1" applyFill="1" applyBorder="1" applyAlignment="1">
      <alignment vertical="center"/>
    </xf>
    <xf numFmtId="3" fontId="24" fillId="8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4" fillId="3" borderId="15" xfId="1" applyFont="1" applyFill="1" applyBorder="1" applyAlignment="1">
      <alignment horizontal="center" vertical="center"/>
    </xf>
    <xf numFmtId="3" fontId="8" fillId="3" borderId="13" xfId="1" applyNumberFormat="1" applyFont="1" applyFill="1" applyBorder="1" applyAlignment="1">
      <alignment vertical="center"/>
    </xf>
    <xf numFmtId="10" fontId="5" fillId="3" borderId="13" xfId="2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vertical="center"/>
    </xf>
    <xf numFmtId="3" fontId="5" fillId="2" borderId="22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3" fontId="5" fillId="3" borderId="36" xfId="0" applyNumberFormat="1" applyFont="1" applyFill="1" applyBorder="1"/>
    <xf numFmtId="3" fontId="8" fillId="3" borderId="1" xfId="0" applyNumberFormat="1" applyFont="1" applyFill="1" applyBorder="1"/>
    <xf numFmtId="10" fontId="5" fillId="3" borderId="14" xfId="2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0" fillId="3" borderId="0" xfId="0" applyFill="1"/>
    <xf numFmtId="10" fontId="5" fillId="3" borderId="1" xfId="14" applyNumberFormat="1" applyFont="1" applyFill="1" applyBorder="1"/>
    <xf numFmtId="3" fontId="12" fillId="2" borderId="4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3" fontId="5" fillId="3" borderId="1" xfId="0" applyNumberFormat="1" applyFont="1" applyFill="1" applyBorder="1"/>
    <xf numFmtId="0" fontId="5" fillId="3" borderId="0" xfId="0" applyFont="1" applyFill="1"/>
    <xf numFmtId="0" fontId="4" fillId="3" borderId="18" xfId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11" fillId="4" borderId="11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3" borderId="11" xfId="0" applyNumberFormat="1" applyFont="1" applyFill="1" applyBorder="1"/>
    <xf numFmtId="3" fontId="8" fillId="8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vertical="center"/>
    </xf>
    <xf numFmtId="3" fontId="5" fillId="8" borderId="3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5" fillId="3" borderId="7" xfId="0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5" fillId="2" borderId="25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166" fontId="5" fillId="3" borderId="36" xfId="13" applyNumberFormat="1" applyFont="1" applyFill="1" applyBorder="1"/>
    <xf numFmtId="2" fontId="5" fillId="3" borderId="36" xfId="13" applyNumberFormat="1" applyFont="1" applyFill="1" applyBorder="1"/>
    <xf numFmtId="1" fontId="5" fillId="3" borderId="36" xfId="13" applyNumberFormat="1" applyFont="1" applyFill="1" applyBorder="1"/>
    <xf numFmtId="166" fontId="8" fillId="3" borderId="1" xfId="13" applyNumberFormat="1" applyFont="1" applyFill="1" applyBorder="1"/>
    <xf numFmtId="3" fontId="5" fillId="3" borderId="16" xfId="0" applyNumberFormat="1" applyFont="1" applyFill="1" applyBorder="1" applyAlignment="1">
      <alignment vertical="center" wrapText="1"/>
    </xf>
    <xf numFmtId="3" fontId="5" fillId="3" borderId="36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10" fontId="5" fillId="2" borderId="12" xfId="6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3" fontId="5" fillId="3" borderId="39" xfId="0" applyNumberFormat="1" applyFont="1" applyFill="1" applyBorder="1"/>
    <xf numFmtId="3" fontId="5" fillId="3" borderId="61" xfId="0" applyNumberFormat="1" applyFont="1" applyFill="1" applyBorder="1"/>
    <xf numFmtId="3" fontId="5" fillId="3" borderId="61" xfId="0" applyNumberFormat="1" applyFont="1" applyFill="1" applyBorder="1" applyAlignment="1">
      <alignment vertical="center"/>
    </xf>
    <xf numFmtId="3" fontId="8" fillId="3" borderId="12" xfId="0" applyNumberFormat="1" applyFont="1" applyFill="1" applyBorder="1"/>
    <xf numFmtId="3" fontId="5" fillId="8" borderId="3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2" xfId="0" applyNumberFormat="1" applyFont="1" applyFill="1" applyBorder="1" applyAlignment="1">
      <alignment vertical="center" wrapText="1"/>
    </xf>
    <xf numFmtId="3" fontId="5" fillId="3" borderId="12" xfId="0" applyNumberFormat="1" applyFont="1" applyFill="1" applyBorder="1"/>
    <xf numFmtId="3" fontId="12" fillId="8" borderId="3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5" fillId="8" borderId="7" xfId="0" applyNumberFormat="1" applyFont="1" applyFill="1" applyBorder="1" applyAlignment="1">
      <alignment vertical="center"/>
    </xf>
    <xf numFmtId="164" fontId="5" fillId="3" borderId="13" xfId="6" applyNumberFormat="1" applyFont="1" applyFill="1" applyBorder="1" applyAlignment="1">
      <alignment vertical="center"/>
    </xf>
    <xf numFmtId="166" fontId="5" fillId="3" borderId="7" xfId="13" applyNumberFormat="1" applyFont="1" applyFill="1" applyBorder="1"/>
    <xf numFmtId="166" fontId="8" fillId="3" borderId="11" xfId="13" applyNumberFormat="1" applyFont="1" applyFill="1" applyBorder="1"/>
    <xf numFmtId="0" fontId="19" fillId="2" borderId="2" xfId="0" applyFont="1" applyFill="1" applyBorder="1" applyAlignment="1">
      <alignment horizontal="center" vertical="center"/>
    </xf>
    <xf numFmtId="2" fontId="5" fillId="3" borderId="7" xfId="13" applyNumberFormat="1" applyFont="1" applyFill="1" applyBorder="1"/>
    <xf numFmtId="1" fontId="5" fillId="3" borderId="7" xfId="13" applyNumberFormat="1" applyFont="1" applyFill="1" applyBorder="1"/>
    <xf numFmtId="3" fontId="5" fillId="3" borderId="1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7" fillId="8" borderId="6" xfId="1" applyFont="1" applyFill="1" applyBorder="1" applyAlignment="1">
      <alignment horizontal="center" vertical="center" wrapText="1"/>
    </xf>
    <xf numFmtId="0" fontId="44" fillId="8" borderId="4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19" xfId="0" applyNumberFormat="1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5" fillId="0" borderId="44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56" xfId="0" applyNumberFormat="1" applyFont="1" applyBorder="1" applyAlignment="1">
      <alignment horizontal="center" wrapText="1"/>
    </xf>
    <xf numFmtId="2" fontId="5" fillId="0" borderId="57" xfId="0" applyNumberFormat="1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4" fillId="8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/>
    </xf>
    <xf numFmtId="0" fontId="45" fillId="8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5" fillId="8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4" fillId="8" borderId="17" xfId="0" applyFont="1" applyFill="1" applyBorder="1" applyAlignment="1">
      <alignment horizontal="center" vertical="center" wrapText="1"/>
    </xf>
    <xf numFmtId="0" fontId="45" fillId="8" borderId="1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19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44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8" fillId="2" borderId="2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horizontal="center" vertical="center" wrapText="1"/>
    </xf>
    <xf numFmtId="0" fontId="47" fillId="8" borderId="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4" fillId="8" borderId="10" xfId="0" applyFont="1" applyFill="1" applyBorder="1" applyAlignment="1">
      <alignment horizontal="right" vertical="center" wrapText="1"/>
    </xf>
    <xf numFmtId="0" fontId="35" fillId="8" borderId="20" xfId="0" applyFont="1" applyFill="1" applyBorder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0" fontId="22" fillId="3" borderId="41" xfId="0" applyFont="1" applyFill="1" applyBorder="1" applyAlignment="1">
      <alignment vertical="center" wrapText="1"/>
    </xf>
    <xf numFmtId="2" fontId="38" fillId="0" borderId="0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</cellXfs>
  <cellStyles count="15">
    <cellStyle name="Comma" xfId="13" builtinId="3"/>
    <cellStyle name="Comma 2" xfId="8"/>
    <cellStyle name="Currency 2" xfId="9"/>
    <cellStyle name="Normal" xfId="0" builtinId="0"/>
    <cellStyle name="Normal 2" xfId="3"/>
    <cellStyle name="Normal 2 2" xfId="10"/>
    <cellStyle name="Normal 2 3" xfId="11"/>
    <cellStyle name="Normal 3" xfId="7"/>
    <cellStyle name="Normal 3 2" xfId="12"/>
    <cellStyle name="Normal 4" xfId="5"/>
    <cellStyle name="Normal 5" xfId="4"/>
    <cellStyle name="Normal 6" xfId="1"/>
    <cellStyle name="Percent" xfId="14" builtinId="5"/>
    <cellStyle name="Percent 2" xfId="6"/>
    <cellStyle name="Percent 3" xfId="2"/>
  </cellStyles>
  <dxfs count="0"/>
  <tableStyles count="0" defaultTableStyle="TableStyleMedium2" defaultPivotStyle="PivotStyleLight16"/>
  <colors>
    <mruColors>
      <color rgb="FFFFFFCC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Makedonija%20Q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Kroacija%20Q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Zoi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Kroacija%20zivot%20Q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Grawe%20zivot%20Q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Viner%20zivot%20Q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Unika%20zivot%20Q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Triglav%20zivot%20Q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PrvaZiv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SP%203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Triglav%20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Evroins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Sava%20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Eurolink%20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Grawe%20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Unika%20Q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Osigpolisa%20Q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/Q%20III%20%202022/Halk%20Q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4_NR"/>
      <sheetName val="STA_SP5_NR"/>
      <sheetName val="STA_SP8_NR"/>
      <sheetName val="STA_SP99"/>
    </sheetNames>
    <sheetDataSet>
      <sheetData sheetId="0"/>
      <sheetData sheetId="1">
        <row r="10">
          <cell r="C10">
            <v>49361</v>
          </cell>
          <cell r="D10">
            <v>90943.94</v>
          </cell>
          <cell r="F10">
            <v>621</v>
          </cell>
          <cell r="G10">
            <v>30874.55</v>
          </cell>
          <cell r="H10">
            <v>191</v>
          </cell>
          <cell r="I10">
            <v>12455.62</v>
          </cell>
        </row>
        <row r="20">
          <cell r="C20">
            <v>723</v>
          </cell>
          <cell r="D20">
            <v>147104.16</v>
          </cell>
          <cell r="F20">
            <v>10951</v>
          </cell>
          <cell r="G20">
            <v>100304.46</v>
          </cell>
          <cell r="H20">
            <v>270</v>
          </cell>
          <cell r="I20">
            <v>3294.14</v>
          </cell>
        </row>
        <row r="24">
          <cell r="C24">
            <v>3629</v>
          </cell>
          <cell r="D24">
            <v>92443.98</v>
          </cell>
          <cell r="F24">
            <v>539</v>
          </cell>
          <cell r="G24">
            <v>54117.32</v>
          </cell>
          <cell r="H24">
            <v>337</v>
          </cell>
          <cell r="I24">
            <v>38505.43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</v>
          </cell>
          <cell r="D33">
            <v>124.84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116</v>
          </cell>
          <cell r="D36">
            <v>15590.49</v>
          </cell>
          <cell r="F36">
            <v>4</v>
          </cell>
          <cell r="G36">
            <v>158.01</v>
          </cell>
          <cell r="H36">
            <v>4</v>
          </cell>
          <cell r="I36">
            <v>740.69</v>
          </cell>
        </row>
        <row r="40">
          <cell r="C40">
            <v>7956</v>
          </cell>
          <cell r="D40">
            <v>145285.96</v>
          </cell>
          <cell r="F40">
            <v>41</v>
          </cell>
          <cell r="G40">
            <v>58024.43</v>
          </cell>
          <cell r="H40">
            <v>23</v>
          </cell>
          <cell r="I40">
            <v>31357.7</v>
          </cell>
        </row>
        <row r="56">
          <cell r="C56">
            <v>8816</v>
          </cell>
          <cell r="D56">
            <v>242510.23</v>
          </cell>
          <cell r="F56">
            <v>608</v>
          </cell>
          <cell r="G56">
            <v>50079.27</v>
          </cell>
          <cell r="H56">
            <v>223</v>
          </cell>
          <cell r="I56">
            <v>215943.81</v>
          </cell>
        </row>
        <row r="88">
          <cell r="C88">
            <v>71884</v>
          </cell>
          <cell r="D88">
            <v>422766.84</v>
          </cell>
          <cell r="F88">
            <v>2671</v>
          </cell>
          <cell r="G88">
            <v>237230.05</v>
          </cell>
          <cell r="H88">
            <v>1859</v>
          </cell>
          <cell r="I88">
            <v>327811.32</v>
          </cell>
        </row>
        <row r="124">
          <cell r="C124">
            <v>10</v>
          </cell>
          <cell r="D124">
            <v>54.19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87</v>
          </cell>
          <cell r="D128">
            <v>400.15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3079</v>
          </cell>
          <cell r="D132">
            <v>23325.55</v>
          </cell>
          <cell r="F132">
            <v>77</v>
          </cell>
          <cell r="G132">
            <v>3780.26</v>
          </cell>
          <cell r="H132">
            <v>79</v>
          </cell>
          <cell r="I132">
            <v>25410.85</v>
          </cell>
        </row>
        <row r="153">
          <cell r="C153">
            <v>918</v>
          </cell>
          <cell r="D153">
            <v>8236.26</v>
          </cell>
          <cell r="F153">
            <v>1</v>
          </cell>
          <cell r="G153">
            <v>287.85000000000002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18</v>
          </cell>
          <cell r="D161">
            <v>2379.8000000000002</v>
          </cell>
          <cell r="F161">
            <v>13</v>
          </cell>
          <cell r="G161">
            <v>18.920000000000002</v>
          </cell>
          <cell r="H161">
            <v>1</v>
          </cell>
          <cell r="I161">
            <v>400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15493</v>
          </cell>
          <cell r="D170">
            <v>10694.82</v>
          </cell>
          <cell r="F170">
            <v>138</v>
          </cell>
          <cell r="G170">
            <v>3237.08</v>
          </cell>
          <cell r="H170">
            <v>69</v>
          </cell>
          <cell r="I170">
            <v>1134.49</v>
          </cell>
        </row>
        <row r="175">
          <cell r="C175">
            <v>105425</v>
          </cell>
        </row>
      </sheetData>
      <sheetData sheetId="2">
        <row r="11">
          <cell r="C11">
            <v>41352</v>
          </cell>
          <cell r="D11">
            <v>229842.33</v>
          </cell>
          <cell r="J11">
            <v>2210</v>
          </cell>
          <cell r="K11">
            <v>183180.04</v>
          </cell>
        </row>
        <row r="12">
          <cell r="C12">
            <v>4918</v>
          </cell>
          <cell r="D12">
            <v>58705.09</v>
          </cell>
          <cell r="J12">
            <v>262</v>
          </cell>
          <cell r="K12">
            <v>18578.939999999999</v>
          </cell>
        </row>
        <row r="13">
          <cell r="C13">
            <v>422</v>
          </cell>
          <cell r="D13">
            <v>9334.9</v>
          </cell>
          <cell r="J13">
            <v>17</v>
          </cell>
          <cell r="K13">
            <v>667.81</v>
          </cell>
        </row>
        <row r="14">
          <cell r="C14">
            <v>803</v>
          </cell>
          <cell r="D14">
            <v>562.41999999999996</v>
          </cell>
          <cell r="J14">
            <v>9</v>
          </cell>
          <cell r="K14">
            <v>268.67</v>
          </cell>
        </row>
        <row r="15">
          <cell r="C15">
            <v>61</v>
          </cell>
          <cell r="D15">
            <v>169.05</v>
          </cell>
          <cell r="J15">
            <v>2</v>
          </cell>
          <cell r="K15">
            <v>71.25</v>
          </cell>
        </row>
        <row r="16">
          <cell r="C16">
            <v>4281</v>
          </cell>
          <cell r="D16">
            <v>6989.36</v>
          </cell>
          <cell r="J16">
            <v>26</v>
          </cell>
          <cell r="K16">
            <v>1482.12</v>
          </cell>
        </row>
        <row r="17">
          <cell r="C17">
            <v>1186</v>
          </cell>
          <cell r="D17">
            <v>363.98</v>
          </cell>
          <cell r="J17">
            <v>0</v>
          </cell>
          <cell r="K17">
            <v>0.81</v>
          </cell>
        </row>
        <row r="18">
          <cell r="C18">
            <v>244</v>
          </cell>
          <cell r="D18">
            <v>930.14</v>
          </cell>
          <cell r="J18">
            <v>15</v>
          </cell>
          <cell r="K18">
            <v>528.63</v>
          </cell>
        </row>
        <row r="19">
          <cell r="C19">
            <v>0</v>
          </cell>
          <cell r="D19">
            <v>-0.93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38</v>
          </cell>
          <cell r="D23">
            <v>199.47</v>
          </cell>
          <cell r="J23">
            <v>0</v>
          </cell>
          <cell r="K23">
            <v>0</v>
          </cell>
        </row>
        <row r="25">
          <cell r="C25">
            <v>16065</v>
          </cell>
          <cell r="D25">
            <v>80222.48</v>
          </cell>
          <cell r="J25">
            <v>40</v>
          </cell>
          <cell r="K25">
            <v>7819.03</v>
          </cell>
        </row>
        <row r="26">
          <cell r="C26">
            <v>719</v>
          </cell>
          <cell r="D26">
            <v>12280.39</v>
          </cell>
          <cell r="J26">
            <v>75</v>
          </cell>
          <cell r="K26">
            <v>22540.12</v>
          </cell>
        </row>
        <row r="27">
          <cell r="C27">
            <v>105</v>
          </cell>
          <cell r="D27">
            <v>1811.01</v>
          </cell>
          <cell r="J27">
            <v>5</v>
          </cell>
          <cell r="K27">
            <v>722.76</v>
          </cell>
        </row>
        <row r="28">
          <cell r="C28">
            <v>4</v>
          </cell>
          <cell r="D28">
            <v>22.14</v>
          </cell>
          <cell r="J28">
            <v>0</v>
          </cell>
          <cell r="K28">
            <v>0</v>
          </cell>
        </row>
        <row r="29">
          <cell r="C29">
            <v>18</v>
          </cell>
          <cell r="D29">
            <v>99.65</v>
          </cell>
          <cell r="J29">
            <v>0</v>
          </cell>
          <cell r="K29">
            <v>0</v>
          </cell>
        </row>
        <row r="30">
          <cell r="C30">
            <v>418</v>
          </cell>
          <cell r="D30">
            <v>779.3</v>
          </cell>
          <cell r="J30">
            <v>0</v>
          </cell>
          <cell r="K30">
            <v>0</v>
          </cell>
        </row>
        <row r="31">
          <cell r="C31">
            <v>635</v>
          </cell>
          <cell r="D31">
            <v>3534.26</v>
          </cell>
          <cell r="J31">
            <v>2</v>
          </cell>
          <cell r="K31">
            <v>449.71</v>
          </cell>
        </row>
        <row r="32">
          <cell r="C32">
            <v>1</v>
          </cell>
          <cell r="D32">
            <v>5.84</v>
          </cell>
          <cell r="J32">
            <v>0</v>
          </cell>
          <cell r="K32">
            <v>0</v>
          </cell>
        </row>
        <row r="34">
          <cell r="C34">
            <v>263</v>
          </cell>
          <cell r="D34">
            <v>1578.19</v>
          </cell>
          <cell r="J34">
            <v>2</v>
          </cell>
          <cell r="K34">
            <v>219.88</v>
          </cell>
        </row>
        <row r="35">
          <cell r="C35">
            <v>11</v>
          </cell>
          <cell r="D35">
            <v>142.12</v>
          </cell>
          <cell r="J35">
            <v>0</v>
          </cell>
          <cell r="K35">
            <v>0</v>
          </cell>
        </row>
        <row r="36">
          <cell r="C36">
            <v>1</v>
          </cell>
          <cell r="D36">
            <v>17.89</v>
          </cell>
          <cell r="J36">
            <v>0</v>
          </cell>
          <cell r="K36">
            <v>0</v>
          </cell>
        </row>
        <row r="37">
          <cell r="C37">
            <v>2</v>
          </cell>
          <cell r="D37">
            <v>4.92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5</v>
          </cell>
          <cell r="D39">
            <v>30.8</v>
          </cell>
          <cell r="J39">
            <v>0</v>
          </cell>
          <cell r="K39">
            <v>0</v>
          </cell>
        </row>
        <row r="40">
          <cell r="C40">
            <v>22</v>
          </cell>
          <cell r="D40">
            <v>14.47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63660.75</v>
          </cell>
        </row>
        <row r="11">
          <cell r="P11">
            <v>102972.91</v>
          </cell>
        </row>
        <row r="12">
          <cell r="P12">
            <v>64710.78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81.150000000000006</v>
          </cell>
        </row>
        <row r="16">
          <cell r="P16">
            <v>9354.2900000000009</v>
          </cell>
        </row>
        <row r="17">
          <cell r="P17">
            <v>94435.87</v>
          </cell>
        </row>
        <row r="20">
          <cell r="P20">
            <v>157631.65</v>
          </cell>
        </row>
        <row r="26">
          <cell r="P26">
            <v>322555.36</v>
          </cell>
        </row>
        <row r="33">
          <cell r="P33">
            <v>35.22</v>
          </cell>
        </row>
        <row r="34">
          <cell r="P34">
            <v>260.10000000000002</v>
          </cell>
        </row>
        <row r="35">
          <cell r="P35">
            <v>15161.61</v>
          </cell>
        </row>
        <row r="36">
          <cell r="P36">
            <v>5353.57</v>
          </cell>
        </row>
        <row r="37">
          <cell r="P37">
            <v>0</v>
          </cell>
        </row>
        <row r="38">
          <cell r="P38">
            <v>1546.87</v>
          </cell>
        </row>
        <row r="39">
          <cell r="P39">
            <v>0</v>
          </cell>
        </row>
        <row r="40">
          <cell r="P40">
            <v>5882.15</v>
          </cell>
        </row>
      </sheetData>
      <sheetData sheetId="5">
        <row r="10">
          <cell r="G10">
            <v>28880.29</v>
          </cell>
        </row>
        <row r="11">
          <cell r="G11">
            <v>14486.2</v>
          </cell>
        </row>
        <row r="12">
          <cell r="G12">
            <v>16905.23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379.8</v>
          </cell>
        </row>
        <row r="17">
          <cell r="G17">
            <v>4560.6099999999997</v>
          </cell>
        </row>
        <row r="20">
          <cell r="G20">
            <v>31406.560000000001</v>
          </cell>
        </row>
        <row r="26">
          <cell r="G26">
            <v>313315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6172.06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1511.31</v>
          </cell>
        </row>
        <row r="41">
          <cell r="C41">
            <v>1067534.54</v>
          </cell>
          <cell r="D41">
            <v>5570.05</v>
          </cell>
          <cell r="E41">
            <v>657054.05000000005</v>
          </cell>
          <cell r="G41">
            <v>417617.07</v>
          </cell>
          <cell r="I41">
            <v>11821.4</v>
          </cell>
          <cell r="K41">
            <v>13583.78</v>
          </cell>
          <cell r="M41">
            <v>0</v>
          </cell>
        </row>
      </sheetData>
      <sheetData sheetId="6">
        <row r="9">
          <cell r="C9">
            <v>5542</v>
          </cell>
          <cell r="D9">
            <v>105546.71</v>
          </cell>
          <cell r="E9"/>
        </row>
        <row r="18">
          <cell r="C18">
            <v>12658</v>
          </cell>
          <cell r="D18">
            <v>280636.31</v>
          </cell>
          <cell r="E18">
            <v>57471.21</v>
          </cell>
        </row>
        <row r="19">
          <cell r="C19">
            <v>32217</v>
          </cell>
          <cell r="D19">
            <v>430965.78</v>
          </cell>
          <cell r="E19">
            <v>91901.18</v>
          </cell>
        </row>
        <row r="20">
          <cell r="C20">
            <v>836</v>
          </cell>
          <cell r="D20">
            <v>250.07</v>
          </cell>
          <cell r="E20">
            <v>74.959999999999994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2147</v>
          </cell>
          <cell r="D22">
            <v>42771.38</v>
          </cell>
          <cell r="E22">
            <v>9009.33</v>
          </cell>
        </row>
        <row r="29">
          <cell r="C29">
            <v>52025</v>
          </cell>
          <cell r="D29">
            <v>341690.93</v>
          </cell>
          <cell r="E29">
            <v>92965.14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64452</v>
          </cell>
          <cell r="D10">
            <v>72976</v>
          </cell>
          <cell r="F10">
            <v>639</v>
          </cell>
          <cell r="G10">
            <v>38656</v>
          </cell>
          <cell r="H10">
            <v>371</v>
          </cell>
          <cell r="I10">
            <v>11790</v>
          </cell>
        </row>
        <row r="20">
          <cell r="C20">
            <v>1340</v>
          </cell>
          <cell r="D20">
            <v>200419</v>
          </cell>
          <cell r="F20">
            <v>8414</v>
          </cell>
          <cell r="G20">
            <v>77986</v>
          </cell>
          <cell r="H20">
            <v>1375</v>
          </cell>
          <cell r="I20">
            <v>18592</v>
          </cell>
        </row>
        <row r="24">
          <cell r="C24">
            <v>2484</v>
          </cell>
          <cell r="D24">
            <v>71080</v>
          </cell>
          <cell r="F24">
            <v>351</v>
          </cell>
          <cell r="G24">
            <v>31843</v>
          </cell>
          <cell r="H24">
            <v>384</v>
          </cell>
          <cell r="I24">
            <v>28507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1018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15</v>
          </cell>
          <cell r="D36">
            <v>3015</v>
          </cell>
          <cell r="F36">
            <v>1</v>
          </cell>
          <cell r="G36">
            <v>744</v>
          </cell>
          <cell r="H36">
            <v>0</v>
          </cell>
          <cell r="I36">
            <v>0</v>
          </cell>
        </row>
        <row r="40">
          <cell r="C40">
            <v>11046</v>
          </cell>
          <cell r="D40">
            <v>40790</v>
          </cell>
          <cell r="F40">
            <v>18</v>
          </cell>
          <cell r="G40">
            <v>2448</v>
          </cell>
          <cell r="H40">
            <v>19</v>
          </cell>
          <cell r="I40">
            <v>37822</v>
          </cell>
        </row>
        <row r="56">
          <cell r="C56">
            <v>10185</v>
          </cell>
          <cell r="D56">
            <v>54816</v>
          </cell>
          <cell r="F56">
            <v>149</v>
          </cell>
          <cell r="G56">
            <v>6835</v>
          </cell>
          <cell r="H56">
            <v>93</v>
          </cell>
          <cell r="I56">
            <v>5861</v>
          </cell>
        </row>
        <row r="88">
          <cell r="C88">
            <v>61061</v>
          </cell>
          <cell r="D88">
            <v>324555</v>
          </cell>
          <cell r="F88">
            <v>1493</v>
          </cell>
          <cell r="G88">
            <v>110989</v>
          </cell>
          <cell r="H88">
            <v>1340</v>
          </cell>
          <cell r="I88">
            <v>233808</v>
          </cell>
        </row>
        <row r="124">
          <cell r="C124">
            <v>2</v>
          </cell>
          <cell r="D124">
            <v>567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17</v>
          </cell>
          <cell r="D128">
            <v>69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10030</v>
          </cell>
          <cell r="D132">
            <v>11554</v>
          </cell>
          <cell r="F132">
            <v>10</v>
          </cell>
          <cell r="G132">
            <v>860</v>
          </cell>
          <cell r="H132">
            <v>8</v>
          </cell>
          <cell r="I132">
            <v>150</v>
          </cell>
        </row>
        <row r="153">
          <cell r="C153">
            <v>412</v>
          </cell>
          <cell r="D153">
            <v>2794</v>
          </cell>
          <cell r="F153">
            <v>1</v>
          </cell>
          <cell r="G153">
            <v>9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10</v>
          </cell>
          <cell r="D161">
            <v>473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16365</v>
          </cell>
          <cell r="D170">
            <v>13568</v>
          </cell>
          <cell r="F170">
            <v>97</v>
          </cell>
          <cell r="G170">
            <v>2858</v>
          </cell>
          <cell r="H170">
            <v>148</v>
          </cell>
          <cell r="I170">
            <v>2637</v>
          </cell>
        </row>
        <row r="175">
          <cell r="C175">
            <v>118268</v>
          </cell>
        </row>
      </sheetData>
      <sheetData sheetId="2">
        <row r="11">
          <cell r="C11">
            <v>35979</v>
          </cell>
          <cell r="D11">
            <v>200053</v>
          </cell>
          <cell r="J11">
            <v>1279</v>
          </cell>
          <cell r="K11">
            <v>88477</v>
          </cell>
        </row>
        <row r="12">
          <cell r="C12">
            <v>3236</v>
          </cell>
          <cell r="D12">
            <v>32342</v>
          </cell>
          <cell r="J12">
            <v>130</v>
          </cell>
          <cell r="K12">
            <v>6319</v>
          </cell>
        </row>
        <row r="13">
          <cell r="C13">
            <v>102</v>
          </cell>
          <cell r="D13">
            <v>2186</v>
          </cell>
          <cell r="J13">
            <v>3</v>
          </cell>
          <cell r="K13">
            <v>125</v>
          </cell>
        </row>
        <row r="14">
          <cell r="C14">
            <v>620</v>
          </cell>
          <cell r="D14">
            <v>540</v>
          </cell>
          <cell r="J14">
            <v>3</v>
          </cell>
          <cell r="K14">
            <v>187</v>
          </cell>
        </row>
        <row r="15">
          <cell r="C15">
            <v>23</v>
          </cell>
          <cell r="D15">
            <v>84</v>
          </cell>
          <cell r="J15">
            <v>0</v>
          </cell>
          <cell r="K15">
            <v>0</v>
          </cell>
        </row>
        <row r="16">
          <cell r="C16">
            <v>4795</v>
          </cell>
          <cell r="D16">
            <v>8496</v>
          </cell>
          <cell r="J16">
            <v>26</v>
          </cell>
          <cell r="K16">
            <v>2505</v>
          </cell>
        </row>
        <row r="17">
          <cell r="C17">
            <v>776</v>
          </cell>
          <cell r="D17">
            <v>242</v>
          </cell>
          <cell r="J17">
            <v>1</v>
          </cell>
          <cell r="K17">
            <v>48</v>
          </cell>
        </row>
        <row r="18">
          <cell r="C18">
            <v>83</v>
          </cell>
          <cell r="D18">
            <v>344</v>
          </cell>
          <cell r="J18">
            <v>4</v>
          </cell>
          <cell r="K18">
            <v>89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</v>
          </cell>
          <cell r="D23">
            <v>4</v>
          </cell>
          <cell r="J23">
            <v>0</v>
          </cell>
          <cell r="K23">
            <v>0</v>
          </cell>
        </row>
        <row r="25">
          <cell r="C25">
            <v>13871</v>
          </cell>
          <cell r="D25">
            <v>64276</v>
          </cell>
          <cell r="J25">
            <v>21</v>
          </cell>
          <cell r="K25">
            <v>3567</v>
          </cell>
        </row>
        <row r="26">
          <cell r="C26">
            <v>473</v>
          </cell>
          <cell r="D26">
            <v>7406</v>
          </cell>
          <cell r="J26">
            <v>20</v>
          </cell>
          <cell r="K26">
            <v>7077</v>
          </cell>
        </row>
        <row r="27">
          <cell r="C27">
            <v>31</v>
          </cell>
          <cell r="D27">
            <v>517</v>
          </cell>
          <cell r="J27">
            <v>2</v>
          </cell>
          <cell r="K27">
            <v>1684</v>
          </cell>
        </row>
        <row r="28">
          <cell r="C28">
            <v>3</v>
          </cell>
          <cell r="D28">
            <v>26</v>
          </cell>
          <cell r="J28">
            <v>0</v>
          </cell>
          <cell r="K28">
            <v>0</v>
          </cell>
        </row>
        <row r="29">
          <cell r="C29">
            <v>6</v>
          </cell>
          <cell r="D29">
            <v>33</v>
          </cell>
          <cell r="J29">
            <v>0</v>
          </cell>
          <cell r="K29">
            <v>0</v>
          </cell>
        </row>
        <row r="30">
          <cell r="C30">
            <v>425</v>
          </cell>
          <cell r="D30">
            <v>766</v>
          </cell>
          <cell r="J30">
            <v>0</v>
          </cell>
          <cell r="K30">
            <v>0</v>
          </cell>
        </row>
        <row r="31">
          <cell r="C31">
            <v>419</v>
          </cell>
          <cell r="D31">
            <v>2147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52</v>
          </cell>
          <cell r="D34">
            <v>430</v>
          </cell>
          <cell r="J34">
            <v>0</v>
          </cell>
          <cell r="K34">
            <v>0</v>
          </cell>
        </row>
        <row r="35">
          <cell r="C35">
            <v>3</v>
          </cell>
          <cell r="D35">
            <v>44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3</v>
          </cell>
          <cell r="D39">
            <v>30</v>
          </cell>
          <cell r="J39">
            <v>0</v>
          </cell>
          <cell r="K39">
            <v>0</v>
          </cell>
        </row>
        <row r="40">
          <cell r="C40">
            <v>2</v>
          </cell>
          <cell r="D40">
            <v>6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51083</v>
          </cell>
        </row>
        <row r="11">
          <cell r="P11">
            <v>140293</v>
          </cell>
        </row>
        <row r="12">
          <cell r="P12">
            <v>49756</v>
          </cell>
        </row>
        <row r="13">
          <cell r="P13">
            <v>0</v>
          </cell>
        </row>
        <row r="14">
          <cell r="P14">
            <v>713</v>
          </cell>
        </row>
        <row r="15">
          <cell r="P15">
            <v>0</v>
          </cell>
        </row>
        <row r="16">
          <cell r="P16">
            <v>2111</v>
          </cell>
        </row>
        <row r="17">
          <cell r="P17">
            <v>28554</v>
          </cell>
        </row>
        <row r="20">
          <cell r="P20">
            <v>38371</v>
          </cell>
        </row>
        <row r="26">
          <cell r="P26">
            <v>249587</v>
          </cell>
        </row>
        <row r="33">
          <cell r="P33">
            <v>454</v>
          </cell>
        </row>
        <row r="34">
          <cell r="P34">
            <v>48</v>
          </cell>
        </row>
        <row r="35">
          <cell r="P35">
            <v>8088</v>
          </cell>
        </row>
        <row r="36">
          <cell r="P36">
            <v>1425</v>
          </cell>
        </row>
        <row r="37">
          <cell r="P37">
            <v>0</v>
          </cell>
        </row>
        <row r="38">
          <cell r="P38">
            <v>307</v>
          </cell>
        </row>
        <row r="39">
          <cell r="P39">
            <v>0</v>
          </cell>
        </row>
        <row r="40">
          <cell r="P40">
            <v>7462</v>
          </cell>
        </row>
      </sheetData>
      <sheetData sheetId="5">
        <row r="10">
          <cell r="G10">
            <v>30606</v>
          </cell>
        </row>
        <row r="11">
          <cell r="G11">
            <v>9513</v>
          </cell>
        </row>
        <row r="12">
          <cell r="G12">
            <v>8833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2155</v>
          </cell>
        </row>
        <row r="17">
          <cell r="G17">
            <v>3517</v>
          </cell>
        </row>
        <row r="20">
          <cell r="G20">
            <v>2101</v>
          </cell>
        </row>
        <row r="26">
          <cell r="G26">
            <v>326595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1064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2491</v>
          </cell>
        </row>
        <row r="41">
          <cell r="C41">
            <v>719331</v>
          </cell>
          <cell r="D41">
            <v>16051</v>
          </cell>
          <cell r="E41">
            <v>339167</v>
          </cell>
          <cell r="G41">
            <v>386875</v>
          </cell>
          <cell r="I41">
            <v>15783</v>
          </cell>
          <cell r="K41">
            <v>9014</v>
          </cell>
          <cell r="M41">
            <v>0</v>
          </cell>
        </row>
      </sheetData>
      <sheetData sheetId="6">
        <row r="9">
          <cell r="C9">
            <v>46153</v>
          </cell>
          <cell r="D9">
            <v>440881</v>
          </cell>
          <cell r="E9"/>
        </row>
        <row r="18">
          <cell r="C18">
            <v>34345</v>
          </cell>
          <cell r="D18">
            <v>261915</v>
          </cell>
          <cell r="E18">
            <v>73859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202</v>
          </cell>
          <cell r="D20">
            <v>496</v>
          </cell>
          <cell r="E20">
            <v>171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34660</v>
          </cell>
          <cell r="D22">
            <v>47468</v>
          </cell>
          <cell r="E22">
            <v>18395</v>
          </cell>
        </row>
        <row r="29">
          <cell r="C29">
            <v>2279</v>
          </cell>
          <cell r="D29">
            <v>37107</v>
          </cell>
          <cell r="E29">
            <v>0</v>
          </cell>
        </row>
        <row r="38">
          <cell r="C38">
            <v>629</v>
          </cell>
          <cell r="D38">
            <v>9827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neRDZodV"/>
      <sheetName val="SUPFIN_VK"/>
      <sheetName val="SUPFIN_SVl"/>
      <sheetName val="VS_VS1_NO"/>
      <sheetName val="VS_VS2"/>
      <sheetName val="SUP_MS_NO"/>
      <sheetName val="SUP_KS"/>
      <sheetName val="SUP_VTR"/>
      <sheetName val="RR_REO_01 - #1"/>
      <sheetName val="RR_REO_03"/>
      <sheetName val="RR_REO_04"/>
      <sheetName val="DEC_SP - #1"/>
      <sheetName val="DEC_SP - #2"/>
      <sheetName val="DEC_SP - #3"/>
      <sheetName val="DEC_SP - #4"/>
      <sheetName val="DEC_SP - #5"/>
      <sheetName val="DEC_SP - #6"/>
    </sheetNames>
    <sheetDataSet>
      <sheetData sheetId="0"/>
      <sheetData sheetId="1">
        <row r="10">
          <cell r="C10">
            <v>3444</v>
          </cell>
          <cell r="D10">
            <v>918.98</v>
          </cell>
          <cell r="F10">
            <v>0</v>
          </cell>
          <cell r="G10">
            <v>0</v>
          </cell>
          <cell r="H10">
            <v>2</v>
          </cell>
          <cell r="I10">
            <v>82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112</v>
          </cell>
          <cell r="D24">
            <v>3384.11</v>
          </cell>
          <cell r="F24">
            <v>11</v>
          </cell>
          <cell r="G24">
            <v>1129.42</v>
          </cell>
          <cell r="H24">
            <v>7</v>
          </cell>
          <cell r="I24">
            <v>430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22</v>
          </cell>
          <cell r="D40">
            <v>94.78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56">
          <cell r="C56">
            <v>16</v>
          </cell>
          <cell r="D56">
            <v>85.26</v>
          </cell>
          <cell r="F56">
            <v>3</v>
          </cell>
          <cell r="G56">
            <v>54.76</v>
          </cell>
          <cell r="H56">
            <v>0</v>
          </cell>
          <cell r="I56">
            <v>0</v>
          </cell>
        </row>
        <row r="88">
          <cell r="C88">
            <v>5272</v>
          </cell>
          <cell r="D88">
            <v>29129.88</v>
          </cell>
          <cell r="F88">
            <v>108</v>
          </cell>
          <cell r="G88">
            <v>5686.81</v>
          </cell>
          <cell r="H88">
            <v>51</v>
          </cell>
          <cell r="I88">
            <v>2865.1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16</v>
          </cell>
          <cell r="D132">
            <v>48.94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86</v>
          </cell>
          <cell r="D170">
            <v>169.58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5">
          <cell r="C175">
            <v>5494</v>
          </cell>
        </row>
      </sheetData>
      <sheetData sheetId="2">
        <row r="11">
          <cell r="C11">
            <v>3239</v>
          </cell>
          <cell r="D11">
            <v>18904.79</v>
          </cell>
          <cell r="J11">
            <v>91</v>
          </cell>
          <cell r="K11">
            <v>4893.17</v>
          </cell>
        </row>
        <row r="12">
          <cell r="C12">
            <v>299</v>
          </cell>
          <cell r="D12">
            <v>3190.35</v>
          </cell>
          <cell r="J12">
            <v>16</v>
          </cell>
          <cell r="K12">
            <v>738.56</v>
          </cell>
        </row>
        <row r="13">
          <cell r="C13">
            <v>7</v>
          </cell>
          <cell r="D13">
            <v>146.9</v>
          </cell>
          <cell r="J13">
            <v>1</v>
          </cell>
          <cell r="K13">
            <v>55.08</v>
          </cell>
        </row>
        <row r="14">
          <cell r="C14">
            <v>59</v>
          </cell>
          <cell r="D14">
            <v>50.36</v>
          </cell>
          <cell r="J14">
            <v>0</v>
          </cell>
          <cell r="K14">
            <v>0</v>
          </cell>
        </row>
        <row r="15">
          <cell r="C15">
            <v>1</v>
          </cell>
          <cell r="D15">
            <v>4.24</v>
          </cell>
          <cell r="J15">
            <v>0</v>
          </cell>
          <cell r="K15">
            <v>0</v>
          </cell>
        </row>
        <row r="16">
          <cell r="C16">
            <v>57</v>
          </cell>
          <cell r="D16">
            <v>113.42</v>
          </cell>
          <cell r="J16">
            <v>0</v>
          </cell>
          <cell r="K16">
            <v>0</v>
          </cell>
        </row>
        <row r="17">
          <cell r="C17">
            <v>64</v>
          </cell>
          <cell r="D17">
            <v>21.15</v>
          </cell>
          <cell r="J17">
            <v>0</v>
          </cell>
          <cell r="K17">
            <v>0</v>
          </cell>
        </row>
        <row r="18">
          <cell r="C18">
            <v>9</v>
          </cell>
          <cell r="D18">
            <v>26.28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129</v>
          </cell>
          <cell r="D21">
            <v>26.93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982</v>
          </cell>
          <cell r="D25">
            <v>4553</v>
          </cell>
          <cell r="J25">
            <v>0</v>
          </cell>
          <cell r="K25">
            <v>0</v>
          </cell>
        </row>
        <row r="26">
          <cell r="C26">
            <v>50</v>
          </cell>
          <cell r="D26">
            <v>792.21</v>
          </cell>
          <cell r="J26">
            <v>0</v>
          </cell>
          <cell r="K26">
            <v>0</v>
          </cell>
        </row>
        <row r="27">
          <cell r="C27">
            <v>1</v>
          </cell>
          <cell r="D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13</v>
          </cell>
          <cell r="D30">
            <v>24.05</v>
          </cell>
          <cell r="J30">
            <v>0</v>
          </cell>
          <cell r="K30">
            <v>0</v>
          </cell>
        </row>
        <row r="31">
          <cell r="C31">
            <v>41</v>
          </cell>
          <cell r="D31">
            <v>226.98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248</v>
          </cell>
          <cell r="D34">
            <v>788.43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0.62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58</v>
          </cell>
          <cell r="D39">
            <v>178.35</v>
          </cell>
          <cell r="J39">
            <v>0</v>
          </cell>
          <cell r="K39">
            <v>0</v>
          </cell>
        </row>
        <row r="40">
          <cell r="C40">
            <v>10</v>
          </cell>
          <cell r="D40">
            <v>6.15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750.76</v>
          </cell>
        </row>
        <row r="11">
          <cell r="P11">
            <v>0</v>
          </cell>
        </row>
        <row r="12">
          <cell r="P12">
            <v>2472.61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70.17</v>
          </cell>
        </row>
        <row r="20">
          <cell r="P20">
            <v>60.99</v>
          </cell>
        </row>
        <row r="26">
          <cell r="P26">
            <v>22407.59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39.75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116.95</v>
          </cell>
        </row>
      </sheetData>
      <sheetData sheetId="5">
        <row r="10">
          <cell r="G10">
            <v>88.94</v>
          </cell>
        </row>
        <row r="11">
          <cell r="G11">
            <v>0</v>
          </cell>
        </row>
        <row r="12">
          <cell r="G12">
            <v>2175.96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207.71</v>
          </cell>
        </row>
        <row r="20">
          <cell r="G20">
            <v>108.67</v>
          </cell>
        </row>
        <row r="26">
          <cell r="G26">
            <v>21072.23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17.96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123.17</v>
          </cell>
        </row>
        <row r="41">
          <cell r="C41">
            <v>29681.11</v>
          </cell>
          <cell r="D41">
            <v>0</v>
          </cell>
          <cell r="E41">
            <v>3377.1</v>
          </cell>
          <cell r="G41">
            <v>23836.28</v>
          </cell>
          <cell r="I41">
            <v>136.26</v>
          </cell>
          <cell r="K41">
            <v>0</v>
          </cell>
          <cell r="M41">
            <v>0</v>
          </cell>
        </row>
      </sheetData>
      <sheetData sheetId="6">
        <row r="9">
          <cell r="C9">
            <v>586</v>
          </cell>
          <cell r="D9">
            <v>2392.37</v>
          </cell>
          <cell r="E9"/>
        </row>
        <row r="18">
          <cell r="C18">
            <v>4634</v>
          </cell>
          <cell r="D18">
            <v>29470.37</v>
          </cell>
          <cell r="E18">
            <v>10103.99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274</v>
          </cell>
          <cell r="D29">
            <v>1968.75</v>
          </cell>
          <cell r="E29">
            <v>384.68</v>
          </cell>
        </row>
        <row r="38">
          <cell r="C38">
            <v>0</v>
          </cell>
          <cell r="D38">
            <v>0</v>
          </cell>
          <cell r="E38">
            <v>3.48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2831</v>
          </cell>
          <cell r="J51">
            <v>455807</v>
          </cell>
          <cell r="Q51">
            <v>300095</v>
          </cell>
        </row>
      </sheetData>
      <sheetData sheetId="2">
        <row r="51">
          <cell r="G51">
            <v>156</v>
          </cell>
          <cell r="H51">
            <v>195</v>
          </cell>
          <cell r="L51">
            <v>1230</v>
          </cell>
          <cell r="N51">
            <v>158</v>
          </cell>
          <cell r="O51">
            <v>243516</v>
          </cell>
        </row>
      </sheetData>
      <sheetData sheetId="3"/>
      <sheetData sheetId="4"/>
      <sheetData sheetId="5">
        <row r="51">
          <cell r="C51">
            <v>19418</v>
          </cell>
          <cell r="D51">
            <v>3670600</v>
          </cell>
          <cell r="E51">
            <v>419225</v>
          </cell>
          <cell r="F51">
            <v>0</v>
          </cell>
          <cell r="G51">
            <v>25014</v>
          </cell>
          <cell r="H51">
            <v>4911</v>
          </cell>
          <cell r="J51">
            <v>743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SUPFIN_SVlPR"/>
      <sheetName val="VS_VS1_ZO"/>
      <sheetName val="VS_VS2"/>
      <sheetName val="SUP_MS_ZO"/>
      <sheetName val="SUP_KS"/>
      <sheetName val="SUP_VTR"/>
      <sheetName val="SUP_VMR - #1"/>
      <sheetName val="RR_REO_01 - #1"/>
      <sheetName val="DEC_SP - #1"/>
      <sheetName val="DEC_SP - #2"/>
      <sheetName val="DEC_SP - #3"/>
      <sheetName val="DEC_SP - #4"/>
      <sheetName val="DEC_SP - #5"/>
      <sheetName val="DEC_SP - #6"/>
      <sheetName val="TableOfContents"/>
    </sheetNames>
    <sheetDataSet>
      <sheetData sheetId="0"/>
      <sheetData sheetId="1">
        <row r="51">
          <cell r="I51">
            <v>734</v>
          </cell>
          <cell r="J51">
            <v>249757</v>
          </cell>
          <cell r="Q51">
            <v>199155.5</v>
          </cell>
        </row>
      </sheetData>
      <sheetData sheetId="2">
        <row r="51">
          <cell r="G51">
            <v>179</v>
          </cell>
          <cell r="H51">
            <v>77</v>
          </cell>
          <cell r="L51">
            <v>614</v>
          </cell>
          <cell r="N51">
            <v>192</v>
          </cell>
          <cell r="O51">
            <v>133311</v>
          </cell>
        </row>
      </sheetData>
      <sheetData sheetId="3"/>
      <sheetData sheetId="4"/>
      <sheetData sheetId="5">
        <row r="51">
          <cell r="C51">
            <v>13677</v>
          </cell>
          <cell r="D51">
            <v>3338168</v>
          </cell>
          <cell r="E51">
            <v>130316</v>
          </cell>
          <cell r="F51">
            <v>113046</v>
          </cell>
          <cell r="G51">
            <v>40058</v>
          </cell>
          <cell r="H51">
            <v>10725</v>
          </cell>
          <cell r="J51">
            <v>675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Header"/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  <sheetName val="FIN_BS"/>
      <sheetName val="DEC_SP - FI"/>
      <sheetName val="DEC_SP - RI"/>
      <sheetName val="DEC_SP - SI"/>
      <sheetName val="DEC_SP - SP"/>
      <sheetName val="DEC_SP - VBS"/>
      <sheetName val="DEC_SP - DFI"/>
    </sheetNames>
    <sheetDataSet>
      <sheetData sheetId="0"/>
      <sheetData sheetId="1"/>
      <sheetData sheetId="2">
        <row r="51">
          <cell r="I51">
            <v>1242</v>
          </cell>
          <cell r="J51">
            <v>315849</v>
          </cell>
          <cell r="Q51">
            <v>252085</v>
          </cell>
        </row>
      </sheetData>
      <sheetData sheetId="3">
        <row r="51">
          <cell r="G51">
            <v>22</v>
          </cell>
          <cell r="H51">
            <v>3</v>
          </cell>
          <cell r="L51">
            <v>383</v>
          </cell>
          <cell r="O51">
            <v>75192</v>
          </cell>
        </row>
      </sheetData>
      <sheetData sheetId="4"/>
      <sheetData sheetId="5"/>
      <sheetData sheetId="6">
        <row r="51">
          <cell r="C51">
            <v>6024</v>
          </cell>
          <cell r="D51">
            <v>781167</v>
          </cell>
          <cell r="E51">
            <v>1137592.8899999999</v>
          </cell>
          <cell r="F51">
            <v>0</v>
          </cell>
          <cell r="G51">
            <v>5647.71</v>
          </cell>
          <cell r="H51">
            <v>12334.58</v>
          </cell>
          <cell r="J51">
            <v>3148.82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4965</v>
          </cell>
          <cell r="J51">
            <v>149222</v>
          </cell>
          <cell r="Q51">
            <v>199982</v>
          </cell>
        </row>
      </sheetData>
      <sheetData sheetId="2">
        <row r="51">
          <cell r="G51">
            <v>25</v>
          </cell>
          <cell r="H51">
            <v>20</v>
          </cell>
          <cell r="L51">
            <v>244</v>
          </cell>
          <cell r="N51">
            <v>86</v>
          </cell>
          <cell r="O51">
            <v>39737</v>
          </cell>
        </row>
      </sheetData>
      <sheetData sheetId="3"/>
      <sheetData sheetId="4"/>
      <sheetData sheetId="5">
        <row r="51">
          <cell r="C51">
            <v>8617</v>
          </cell>
          <cell r="D51">
            <v>555902</v>
          </cell>
          <cell r="E51">
            <v>366553</v>
          </cell>
          <cell r="F51">
            <v>0</v>
          </cell>
          <cell r="G51">
            <v>6099</v>
          </cell>
          <cell r="H51">
            <v>1886</v>
          </cell>
          <cell r="J51">
            <v>920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3457</v>
          </cell>
          <cell r="J51">
            <v>372615.26</v>
          </cell>
          <cell r="Q51">
            <v>261957.48</v>
          </cell>
        </row>
      </sheetData>
      <sheetData sheetId="2">
        <row r="51">
          <cell r="G51">
            <v>22</v>
          </cell>
          <cell r="H51">
            <v>0</v>
          </cell>
          <cell r="L51">
            <v>346</v>
          </cell>
          <cell r="N51">
            <v>0</v>
          </cell>
          <cell r="O51">
            <v>95834.46</v>
          </cell>
        </row>
      </sheetData>
      <sheetData sheetId="3"/>
      <sheetData sheetId="4"/>
      <sheetData sheetId="5">
        <row r="51">
          <cell r="C51">
            <v>1094.9100000000001</v>
          </cell>
          <cell r="D51">
            <v>712627.72</v>
          </cell>
          <cell r="E51">
            <v>288507.03999999998</v>
          </cell>
          <cell r="F51">
            <v>0</v>
          </cell>
          <cell r="G51">
            <v>3136.54</v>
          </cell>
          <cell r="H51">
            <v>563.5</v>
          </cell>
          <cell r="J51">
            <v>185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</sheetNames>
    <sheetDataSet>
      <sheetData sheetId="0"/>
      <sheetData sheetId="1">
        <row r="51">
          <cell r="I51">
            <v>586</v>
          </cell>
          <cell r="J51">
            <v>22570.13</v>
          </cell>
          <cell r="Q51">
            <v>9010.76</v>
          </cell>
        </row>
      </sheetData>
      <sheetData sheetId="2">
        <row r="51">
          <cell r="G51">
            <v>0</v>
          </cell>
          <cell r="H51">
            <v>0</v>
          </cell>
          <cell r="L51">
            <v>4</v>
          </cell>
          <cell r="N51">
            <v>0</v>
          </cell>
          <cell r="O51">
            <v>793.39</v>
          </cell>
        </row>
      </sheetData>
      <sheetData sheetId="3"/>
      <sheetData sheetId="4"/>
      <sheetData sheetId="5">
        <row r="51">
          <cell r="C51">
            <v>1064.25</v>
          </cell>
          <cell r="D51">
            <v>9761.1200000000008</v>
          </cell>
          <cell r="E51">
            <v>4641.26</v>
          </cell>
          <cell r="F51">
            <v>0</v>
          </cell>
          <cell r="G51">
            <v>0</v>
          </cell>
          <cell r="H51">
            <v>202.01</v>
          </cell>
          <cell r="J51">
            <v>1.02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donija"/>
      <sheetName val="Triglav"/>
      <sheetName val="Euroins"/>
      <sheetName val="Sava"/>
      <sheetName val="Winner"/>
      <sheetName val="Eurolink"/>
      <sheetName val="Grawe"/>
      <sheetName val="Uniqa"/>
      <sheetName val="Polisa"/>
      <sheetName val="Halk"/>
      <sheetName val="Croatia"/>
      <sheetName val="Zoil"/>
      <sheetName val="Vkup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188</v>
          </cell>
          <cell r="D12">
            <v>21511.49</v>
          </cell>
          <cell r="F12">
            <v>655</v>
          </cell>
          <cell r="G12">
            <v>138482.09000000003</v>
          </cell>
        </row>
        <row r="21">
          <cell r="C21">
            <v>36</v>
          </cell>
          <cell r="D21">
            <v>7998.57</v>
          </cell>
          <cell r="F21">
            <v>194</v>
          </cell>
          <cell r="G21">
            <v>46589.17</v>
          </cell>
        </row>
        <row r="22">
          <cell r="C22">
            <v>342</v>
          </cell>
          <cell r="D22">
            <v>44482.18</v>
          </cell>
          <cell r="F22">
            <v>508</v>
          </cell>
          <cell r="G22">
            <v>124615.57999999999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4"/>
    </sheetNames>
    <sheetDataSet>
      <sheetData sheetId="0"/>
      <sheetData sheetId="1">
        <row r="10">
          <cell r="C10">
            <v>25267</v>
          </cell>
          <cell r="D10">
            <v>97143.16</v>
          </cell>
          <cell r="F10">
            <v>448</v>
          </cell>
          <cell r="G10">
            <v>22287.94</v>
          </cell>
          <cell r="H10">
            <v>427</v>
          </cell>
          <cell r="I10">
            <v>19952.22</v>
          </cell>
        </row>
        <row r="20">
          <cell r="C20">
            <v>13464</v>
          </cell>
          <cell r="D20">
            <v>174756.82</v>
          </cell>
          <cell r="F20">
            <v>8034</v>
          </cell>
          <cell r="G20">
            <v>84893.18</v>
          </cell>
          <cell r="H20">
            <v>937</v>
          </cell>
          <cell r="I20">
            <v>17515.71</v>
          </cell>
        </row>
        <row r="24">
          <cell r="C24">
            <v>3737</v>
          </cell>
          <cell r="D24">
            <v>99029.9</v>
          </cell>
          <cell r="F24">
            <v>516</v>
          </cell>
          <cell r="G24">
            <v>47783.37</v>
          </cell>
          <cell r="H24">
            <v>421</v>
          </cell>
          <cell r="I24">
            <v>42905.15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66.260000000000005</v>
          </cell>
          <cell r="H30">
            <v>2</v>
          </cell>
          <cell r="I30">
            <v>487256.06</v>
          </cell>
        </row>
        <row r="33">
          <cell r="C33">
            <v>2</v>
          </cell>
          <cell r="D33">
            <v>41.04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348</v>
          </cell>
          <cell r="D36">
            <v>20305.11</v>
          </cell>
          <cell r="F36">
            <v>1</v>
          </cell>
          <cell r="G36">
            <v>50906.63</v>
          </cell>
          <cell r="H36">
            <v>2</v>
          </cell>
          <cell r="I36">
            <v>253</v>
          </cell>
        </row>
        <row r="40">
          <cell r="C40">
            <v>10778</v>
          </cell>
          <cell r="D40">
            <v>66161.919999999998</v>
          </cell>
          <cell r="F40">
            <v>18</v>
          </cell>
          <cell r="G40">
            <v>5020.0600000000004</v>
          </cell>
          <cell r="H40">
            <v>35</v>
          </cell>
          <cell r="I40">
            <v>19825.89</v>
          </cell>
        </row>
        <row r="56">
          <cell r="C56">
            <v>12640</v>
          </cell>
          <cell r="D56">
            <v>141540.82999999999</v>
          </cell>
          <cell r="F56">
            <v>416</v>
          </cell>
          <cell r="G56">
            <v>13654.77</v>
          </cell>
          <cell r="H56">
            <v>151</v>
          </cell>
          <cell r="I56">
            <v>10752.91</v>
          </cell>
        </row>
        <row r="88">
          <cell r="C88">
            <v>40418</v>
          </cell>
          <cell r="D88">
            <v>232888.94</v>
          </cell>
          <cell r="F88">
            <v>1297</v>
          </cell>
          <cell r="G88">
            <v>106526.83</v>
          </cell>
          <cell r="H88">
            <v>1028</v>
          </cell>
          <cell r="I88">
            <v>274141.58</v>
          </cell>
        </row>
        <row r="124">
          <cell r="C124">
            <v>128</v>
          </cell>
          <cell r="D124">
            <v>353.74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22</v>
          </cell>
          <cell r="D128">
            <v>141.25</v>
          </cell>
          <cell r="F128">
            <v>0</v>
          </cell>
          <cell r="G128">
            <v>0</v>
          </cell>
          <cell r="H128">
            <v>6</v>
          </cell>
          <cell r="I128">
            <v>6255</v>
          </cell>
        </row>
        <row r="132">
          <cell r="C132">
            <v>4720</v>
          </cell>
          <cell r="D132">
            <v>35238.68</v>
          </cell>
          <cell r="F132">
            <v>7</v>
          </cell>
          <cell r="G132">
            <v>382.64</v>
          </cell>
          <cell r="H132">
            <v>12</v>
          </cell>
          <cell r="I132">
            <v>5667.11</v>
          </cell>
        </row>
        <row r="153">
          <cell r="C153">
            <v>8458</v>
          </cell>
          <cell r="D153">
            <v>39670.54</v>
          </cell>
          <cell r="F153">
            <v>18</v>
          </cell>
          <cell r="G153">
            <v>716.58</v>
          </cell>
          <cell r="H153">
            <v>16</v>
          </cell>
          <cell r="I153">
            <v>893.8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36</v>
          </cell>
          <cell r="D161">
            <v>23200.75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48171</v>
          </cell>
          <cell r="D170">
            <v>30527.05</v>
          </cell>
          <cell r="F170">
            <v>369</v>
          </cell>
          <cell r="G170">
            <v>9313.91</v>
          </cell>
          <cell r="H170">
            <v>355</v>
          </cell>
          <cell r="I170">
            <v>12775.68</v>
          </cell>
        </row>
        <row r="175">
          <cell r="C175">
            <v>127663</v>
          </cell>
        </row>
      </sheetData>
      <sheetData sheetId="2">
        <row r="11">
          <cell r="C11">
            <v>21852</v>
          </cell>
          <cell r="D11">
            <v>120756.31</v>
          </cell>
          <cell r="J11">
            <v>986</v>
          </cell>
          <cell r="K11">
            <v>62637.760000000002</v>
          </cell>
        </row>
        <row r="12">
          <cell r="C12">
            <v>2648</v>
          </cell>
          <cell r="D12">
            <v>30844.93</v>
          </cell>
          <cell r="J12">
            <v>156</v>
          </cell>
          <cell r="K12">
            <v>9245.0400000000009</v>
          </cell>
        </row>
        <row r="13">
          <cell r="C13">
            <v>178</v>
          </cell>
          <cell r="D13">
            <v>3448.49</v>
          </cell>
          <cell r="J13">
            <v>11</v>
          </cell>
          <cell r="K13">
            <v>893.2</v>
          </cell>
        </row>
        <row r="14">
          <cell r="C14">
            <v>462</v>
          </cell>
          <cell r="D14">
            <v>380.41</v>
          </cell>
          <cell r="J14">
            <v>2</v>
          </cell>
          <cell r="K14">
            <v>171.67</v>
          </cell>
        </row>
        <row r="15">
          <cell r="C15">
            <v>24</v>
          </cell>
          <cell r="D15">
            <v>74.45</v>
          </cell>
          <cell r="J15">
            <v>0</v>
          </cell>
          <cell r="K15">
            <v>0</v>
          </cell>
        </row>
        <row r="16">
          <cell r="C16">
            <v>2266</v>
          </cell>
          <cell r="D16">
            <v>3914.87</v>
          </cell>
          <cell r="J16">
            <v>9</v>
          </cell>
          <cell r="K16">
            <v>437.24</v>
          </cell>
        </row>
        <row r="17">
          <cell r="C17">
            <v>877</v>
          </cell>
          <cell r="D17">
            <v>274.52999999999997</v>
          </cell>
          <cell r="J17">
            <v>2</v>
          </cell>
          <cell r="K17">
            <v>92.47</v>
          </cell>
        </row>
        <row r="18">
          <cell r="C18">
            <v>68</v>
          </cell>
          <cell r="D18">
            <v>252.82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9904</v>
          </cell>
          <cell r="D25">
            <v>46233.23</v>
          </cell>
          <cell r="J25">
            <v>22</v>
          </cell>
          <cell r="K25">
            <v>4142.8900000000003</v>
          </cell>
        </row>
        <row r="26">
          <cell r="C26">
            <v>666</v>
          </cell>
          <cell r="D26">
            <v>10572.68</v>
          </cell>
          <cell r="J26">
            <v>94</v>
          </cell>
          <cell r="K26">
            <v>26780.67</v>
          </cell>
        </row>
        <row r="27">
          <cell r="C27">
            <v>58</v>
          </cell>
          <cell r="D27">
            <v>948.11</v>
          </cell>
          <cell r="J27">
            <v>6</v>
          </cell>
          <cell r="K27">
            <v>974.83</v>
          </cell>
        </row>
        <row r="28">
          <cell r="C28">
            <v>1</v>
          </cell>
          <cell r="D28">
            <v>5.53</v>
          </cell>
          <cell r="J28">
            <v>0</v>
          </cell>
          <cell r="K28">
            <v>0</v>
          </cell>
        </row>
        <row r="29">
          <cell r="C29">
            <v>7</v>
          </cell>
          <cell r="D29">
            <v>33.51</v>
          </cell>
          <cell r="J29">
            <v>0</v>
          </cell>
          <cell r="K29">
            <v>0</v>
          </cell>
        </row>
        <row r="30">
          <cell r="C30">
            <v>233</v>
          </cell>
          <cell r="D30">
            <v>417.1</v>
          </cell>
          <cell r="J30">
            <v>0</v>
          </cell>
          <cell r="K30">
            <v>0</v>
          </cell>
        </row>
        <row r="31">
          <cell r="C31">
            <v>664</v>
          </cell>
          <cell r="D31">
            <v>3408.86</v>
          </cell>
          <cell r="J31">
            <v>4</v>
          </cell>
          <cell r="K31">
            <v>828.07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75</v>
          </cell>
          <cell r="D34">
            <v>651.28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14.14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2</v>
          </cell>
          <cell r="D39">
            <v>16.600000000000001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69496.240000000005</v>
          </cell>
        </row>
        <row r="11">
          <cell r="P11">
            <v>125021.03</v>
          </cell>
        </row>
        <row r="12">
          <cell r="P12">
            <v>68211.8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34.24</v>
          </cell>
        </row>
        <row r="16">
          <cell r="P16">
            <v>16936.5</v>
          </cell>
        </row>
        <row r="17">
          <cell r="P17">
            <v>37487.360000000001</v>
          </cell>
        </row>
        <row r="20">
          <cell r="P20">
            <v>95540.07</v>
          </cell>
        </row>
        <row r="26">
          <cell r="P26">
            <v>179114.48</v>
          </cell>
        </row>
        <row r="33">
          <cell r="P33">
            <v>295.05</v>
          </cell>
        </row>
        <row r="34">
          <cell r="P34">
            <v>117.82</v>
          </cell>
        </row>
        <row r="35">
          <cell r="P35">
            <v>27792.799999999999</v>
          </cell>
        </row>
        <row r="36">
          <cell r="P36">
            <v>23802.32</v>
          </cell>
        </row>
        <row r="37">
          <cell r="P37">
            <v>0</v>
          </cell>
        </row>
        <row r="38">
          <cell r="P38">
            <v>18298.439999999999</v>
          </cell>
        </row>
        <row r="39">
          <cell r="P39">
            <v>0</v>
          </cell>
        </row>
        <row r="40">
          <cell r="P40">
            <v>18316.240000000002</v>
          </cell>
        </row>
      </sheetData>
      <sheetData sheetId="5">
        <row r="10">
          <cell r="G10">
            <v>22822.57</v>
          </cell>
        </row>
        <row r="11">
          <cell r="G11">
            <v>7629.73</v>
          </cell>
        </row>
        <row r="12">
          <cell r="G12">
            <v>8275.2999999999993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3469.7</v>
          </cell>
        </row>
        <row r="20">
          <cell r="G20">
            <v>4516.63</v>
          </cell>
        </row>
        <row r="26">
          <cell r="G26">
            <v>235861.63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2151.36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955.55</v>
          </cell>
        </row>
        <row r="41">
          <cell r="C41">
            <v>768583.03</v>
          </cell>
          <cell r="D41">
            <v>65272.58</v>
          </cell>
          <cell r="E41">
            <v>898194.11</v>
          </cell>
          <cell r="G41">
            <v>285682.46999999997</v>
          </cell>
          <cell r="I41">
            <v>65929.38</v>
          </cell>
          <cell r="K41">
            <v>11319.96</v>
          </cell>
          <cell r="M41">
            <v>0</v>
          </cell>
        </row>
      </sheetData>
      <sheetData sheetId="6">
        <row r="9">
          <cell r="C9">
            <v>81342</v>
          </cell>
          <cell r="D9">
            <v>728313.27</v>
          </cell>
          <cell r="E9"/>
        </row>
        <row r="18">
          <cell r="C18">
            <v>34802</v>
          </cell>
          <cell r="D18">
            <v>199840.97</v>
          </cell>
          <cell r="E18">
            <v>45272.58</v>
          </cell>
        </row>
        <row r="19">
          <cell r="C19">
            <v>5</v>
          </cell>
          <cell r="D19">
            <v>52.42</v>
          </cell>
          <cell r="E19">
            <v>58.23</v>
          </cell>
        </row>
        <row r="20">
          <cell r="C20">
            <v>1874</v>
          </cell>
          <cell r="D20">
            <v>1488.05</v>
          </cell>
          <cell r="E20">
            <v>248.34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5292</v>
          </cell>
          <cell r="D22">
            <v>6634.61</v>
          </cell>
          <cell r="E22">
            <v>1697.54</v>
          </cell>
        </row>
        <row r="29">
          <cell r="C29">
            <v>4348</v>
          </cell>
          <cell r="D29">
            <v>24670.68</v>
          </cell>
          <cell r="E29">
            <v>4938.8100000000004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13987</v>
          </cell>
          <cell r="D10">
            <v>30984</v>
          </cell>
          <cell r="F10">
            <v>105</v>
          </cell>
          <cell r="G10">
            <v>3790</v>
          </cell>
          <cell r="H10">
            <v>52</v>
          </cell>
          <cell r="I10">
            <v>2451</v>
          </cell>
        </row>
        <row r="20">
          <cell r="C20">
            <v>64</v>
          </cell>
          <cell r="D20">
            <v>16590</v>
          </cell>
          <cell r="F20">
            <v>789</v>
          </cell>
          <cell r="G20">
            <v>6219</v>
          </cell>
          <cell r="H20">
            <v>59</v>
          </cell>
          <cell r="I20">
            <v>1379</v>
          </cell>
        </row>
        <row r="24">
          <cell r="C24">
            <v>5747</v>
          </cell>
          <cell r="D24">
            <v>47345</v>
          </cell>
          <cell r="F24">
            <v>283</v>
          </cell>
          <cell r="G24">
            <v>15990</v>
          </cell>
          <cell r="H24">
            <v>220</v>
          </cell>
          <cell r="I24">
            <v>20678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142</v>
          </cell>
          <cell r="D36">
            <v>8201</v>
          </cell>
          <cell r="F36">
            <v>1</v>
          </cell>
          <cell r="G36">
            <v>36</v>
          </cell>
          <cell r="H36">
            <v>0</v>
          </cell>
          <cell r="I36">
            <v>0</v>
          </cell>
        </row>
        <row r="40">
          <cell r="C40">
            <v>2892</v>
          </cell>
          <cell r="D40">
            <v>35699</v>
          </cell>
          <cell r="F40">
            <v>6</v>
          </cell>
          <cell r="G40">
            <v>401</v>
          </cell>
          <cell r="H40">
            <v>8</v>
          </cell>
          <cell r="I40">
            <v>832</v>
          </cell>
        </row>
        <row r="56">
          <cell r="C56">
            <v>1123</v>
          </cell>
          <cell r="D56">
            <v>42441</v>
          </cell>
          <cell r="F56">
            <v>112</v>
          </cell>
          <cell r="G56">
            <v>3696</v>
          </cell>
          <cell r="H56">
            <v>69</v>
          </cell>
          <cell r="I56">
            <v>11998</v>
          </cell>
        </row>
        <row r="88">
          <cell r="C88">
            <v>39740</v>
          </cell>
          <cell r="D88">
            <v>193322</v>
          </cell>
          <cell r="F88">
            <v>986</v>
          </cell>
          <cell r="G88">
            <v>77318</v>
          </cell>
          <cell r="H88">
            <v>988</v>
          </cell>
          <cell r="I88">
            <v>156137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</v>
          </cell>
          <cell r="D128">
            <v>29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745</v>
          </cell>
          <cell r="D132">
            <v>4150</v>
          </cell>
          <cell r="F132">
            <v>11</v>
          </cell>
          <cell r="G132">
            <v>123</v>
          </cell>
          <cell r="H132">
            <v>20</v>
          </cell>
          <cell r="I132">
            <v>1015</v>
          </cell>
        </row>
        <row r="153">
          <cell r="C153">
            <v>39</v>
          </cell>
          <cell r="D153">
            <v>1023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7</v>
          </cell>
          <cell r="D158">
            <v>375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</v>
          </cell>
          <cell r="D161">
            <v>45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6845</v>
          </cell>
          <cell r="D170">
            <v>4627</v>
          </cell>
          <cell r="F170">
            <v>27</v>
          </cell>
          <cell r="G170">
            <v>1151</v>
          </cell>
          <cell r="H170">
            <v>118</v>
          </cell>
          <cell r="I170">
            <v>3328</v>
          </cell>
        </row>
        <row r="175">
          <cell r="C175">
            <v>56409</v>
          </cell>
        </row>
      </sheetData>
      <sheetData sheetId="1">
        <row r="11">
          <cell r="C11">
            <v>14284</v>
          </cell>
          <cell r="D11">
            <v>82466</v>
          </cell>
          <cell r="J11">
            <v>795</v>
          </cell>
          <cell r="K11">
            <v>47775</v>
          </cell>
        </row>
        <row r="12">
          <cell r="C12">
            <v>1483</v>
          </cell>
          <cell r="D12">
            <v>16910</v>
          </cell>
          <cell r="J12">
            <v>107</v>
          </cell>
          <cell r="K12">
            <v>7664</v>
          </cell>
        </row>
        <row r="13">
          <cell r="C13">
            <v>93</v>
          </cell>
          <cell r="D13">
            <v>2057</v>
          </cell>
          <cell r="J13">
            <v>3</v>
          </cell>
          <cell r="K13">
            <v>86</v>
          </cell>
        </row>
        <row r="14">
          <cell r="C14">
            <v>110</v>
          </cell>
          <cell r="D14">
            <v>82</v>
          </cell>
          <cell r="J14">
            <v>2</v>
          </cell>
          <cell r="K14">
            <v>85</v>
          </cell>
        </row>
        <row r="15">
          <cell r="C15">
            <v>58</v>
          </cell>
          <cell r="D15">
            <v>147</v>
          </cell>
          <cell r="J15">
            <v>1</v>
          </cell>
          <cell r="K15">
            <v>53</v>
          </cell>
        </row>
        <row r="16">
          <cell r="C16">
            <v>1084</v>
          </cell>
          <cell r="D16">
            <v>2072</v>
          </cell>
          <cell r="J16">
            <v>4</v>
          </cell>
          <cell r="K16">
            <v>280</v>
          </cell>
        </row>
        <row r="17">
          <cell r="C17">
            <v>348</v>
          </cell>
          <cell r="D17">
            <v>117</v>
          </cell>
          <cell r="J17">
            <v>0</v>
          </cell>
          <cell r="K17">
            <v>0</v>
          </cell>
        </row>
        <row r="18">
          <cell r="C18">
            <v>79</v>
          </cell>
          <cell r="D18">
            <v>357</v>
          </cell>
          <cell r="J18">
            <v>30</v>
          </cell>
          <cell r="K18">
            <v>1482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5771</v>
          </cell>
          <cell r="D25">
            <v>27949</v>
          </cell>
          <cell r="J25">
            <v>10</v>
          </cell>
          <cell r="K25">
            <v>2870</v>
          </cell>
        </row>
        <row r="26">
          <cell r="C26">
            <v>277</v>
          </cell>
          <cell r="D26">
            <v>4725</v>
          </cell>
          <cell r="J26">
            <v>22</v>
          </cell>
          <cell r="K26">
            <v>8418</v>
          </cell>
        </row>
        <row r="27">
          <cell r="C27">
            <v>27</v>
          </cell>
          <cell r="D27">
            <v>465</v>
          </cell>
          <cell r="J27">
            <v>2</v>
          </cell>
          <cell r="K27">
            <v>148</v>
          </cell>
        </row>
        <row r="28">
          <cell r="C28">
            <v>1</v>
          </cell>
          <cell r="D28">
            <v>6</v>
          </cell>
          <cell r="J28">
            <v>0</v>
          </cell>
          <cell r="K28">
            <v>0</v>
          </cell>
        </row>
        <row r="29">
          <cell r="C29">
            <v>5</v>
          </cell>
          <cell r="D29">
            <v>28</v>
          </cell>
          <cell r="J29">
            <v>0</v>
          </cell>
          <cell r="K29">
            <v>0</v>
          </cell>
        </row>
        <row r="30">
          <cell r="C30">
            <v>121</v>
          </cell>
          <cell r="D30">
            <v>224</v>
          </cell>
          <cell r="J30">
            <v>0</v>
          </cell>
          <cell r="K30">
            <v>0</v>
          </cell>
        </row>
        <row r="31">
          <cell r="C31">
            <v>236</v>
          </cell>
          <cell r="D31">
            <v>1301</v>
          </cell>
          <cell r="J31">
            <v>2</v>
          </cell>
          <cell r="K31">
            <v>102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15286</v>
          </cell>
          <cell r="D34">
            <v>48967</v>
          </cell>
          <cell r="J34">
            <v>3</v>
          </cell>
          <cell r="K34">
            <v>8240</v>
          </cell>
        </row>
        <row r="35">
          <cell r="C35">
            <v>241</v>
          </cell>
          <cell r="D35">
            <v>1694</v>
          </cell>
          <cell r="J35">
            <v>1</v>
          </cell>
          <cell r="K35">
            <v>55</v>
          </cell>
        </row>
        <row r="36">
          <cell r="C36">
            <v>28</v>
          </cell>
          <cell r="D36">
            <v>219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10</v>
          </cell>
          <cell r="D38">
            <v>70</v>
          </cell>
          <cell r="J38">
            <v>0</v>
          </cell>
          <cell r="K38">
            <v>0</v>
          </cell>
        </row>
        <row r="39">
          <cell r="C39">
            <v>19</v>
          </cell>
          <cell r="D39">
            <v>59</v>
          </cell>
          <cell r="J39">
            <v>0</v>
          </cell>
          <cell r="K39">
            <v>0</v>
          </cell>
        </row>
        <row r="40">
          <cell r="C40">
            <v>37</v>
          </cell>
          <cell r="D40">
            <v>26</v>
          </cell>
          <cell r="J40">
            <v>0</v>
          </cell>
          <cell r="K40">
            <v>0</v>
          </cell>
        </row>
        <row r="41">
          <cell r="C41">
            <v>1</v>
          </cell>
          <cell r="D41">
            <v>14</v>
          </cell>
          <cell r="J41">
            <v>0</v>
          </cell>
          <cell r="K41">
            <v>0</v>
          </cell>
        </row>
      </sheetData>
      <sheetData sheetId="2"/>
      <sheetData sheetId="3">
        <row r="10">
          <cell r="P10">
            <v>14723</v>
          </cell>
        </row>
        <row r="11">
          <cell r="P11">
            <v>11317</v>
          </cell>
        </row>
        <row r="12">
          <cell r="P12">
            <v>30774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5741</v>
          </cell>
        </row>
        <row r="17">
          <cell r="P17">
            <v>21419</v>
          </cell>
        </row>
        <row r="20">
          <cell r="P20">
            <v>25465</v>
          </cell>
        </row>
        <row r="26">
          <cell r="P26">
            <v>148857</v>
          </cell>
        </row>
        <row r="33">
          <cell r="P33">
            <v>0</v>
          </cell>
        </row>
        <row r="34">
          <cell r="P34">
            <v>22</v>
          </cell>
        </row>
        <row r="35">
          <cell r="P35">
            <v>2491</v>
          </cell>
        </row>
        <row r="36">
          <cell r="P36">
            <v>302</v>
          </cell>
        </row>
        <row r="37">
          <cell r="P37">
            <v>244</v>
          </cell>
        </row>
        <row r="38">
          <cell r="P38">
            <v>31</v>
          </cell>
        </row>
        <row r="39">
          <cell r="P39">
            <v>0</v>
          </cell>
        </row>
        <row r="40">
          <cell r="P40">
            <v>2777</v>
          </cell>
        </row>
      </sheetData>
      <sheetData sheetId="4">
        <row r="10">
          <cell r="G10">
            <v>10294</v>
          </cell>
        </row>
        <row r="11">
          <cell r="G11">
            <v>4168</v>
          </cell>
        </row>
        <row r="12">
          <cell r="G12">
            <v>15324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786</v>
          </cell>
        </row>
        <row r="17">
          <cell r="G17">
            <v>637</v>
          </cell>
        </row>
        <row r="20">
          <cell r="G20">
            <v>24510</v>
          </cell>
        </row>
        <row r="26">
          <cell r="G26">
            <v>219062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1379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98</v>
          </cell>
        </row>
        <row r="39">
          <cell r="G39">
            <v>0</v>
          </cell>
        </row>
        <row r="40">
          <cell r="G40">
            <v>2140</v>
          </cell>
        </row>
        <row r="41">
          <cell r="C41">
            <v>323613</v>
          </cell>
          <cell r="D41">
            <v>1504</v>
          </cell>
          <cell r="E41">
            <v>197818</v>
          </cell>
          <cell r="G41">
            <v>278398</v>
          </cell>
          <cell r="I41">
            <v>25578</v>
          </cell>
          <cell r="K41">
            <v>8237</v>
          </cell>
          <cell r="M41">
            <v>0</v>
          </cell>
        </row>
      </sheetData>
      <sheetData sheetId="5">
        <row r="9">
          <cell r="C9">
            <v>5460</v>
          </cell>
          <cell r="D9">
            <v>66419</v>
          </cell>
          <cell r="E9"/>
        </row>
        <row r="18">
          <cell r="C18">
            <v>7640</v>
          </cell>
          <cell r="D18">
            <v>88684</v>
          </cell>
          <cell r="E18">
            <v>34351</v>
          </cell>
        </row>
        <row r="19">
          <cell r="C19">
            <v>7803</v>
          </cell>
          <cell r="D19">
            <v>41616</v>
          </cell>
          <cell r="E19">
            <v>12430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469</v>
          </cell>
          <cell r="D21">
            <v>6169</v>
          </cell>
          <cell r="E21">
            <v>925</v>
          </cell>
        </row>
        <row r="22">
          <cell r="C22">
            <v>1372</v>
          </cell>
          <cell r="D22">
            <v>2968</v>
          </cell>
          <cell r="E22">
            <v>873</v>
          </cell>
        </row>
        <row r="29">
          <cell r="C29">
            <v>3266</v>
          </cell>
          <cell r="D29">
            <v>21613</v>
          </cell>
          <cell r="E29">
            <v>2922</v>
          </cell>
        </row>
        <row r="38">
          <cell r="C38">
            <v>30399</v>
          </cell>
          <cell r="D38">
            <v>157362</v>
          </cell>
          <cell r="E38">
            <v>39772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73924</v>
          </cell>
          <cell r="D10">
            <v>42523.78</v>
          </cell>
          <cell r="F10">
            <v>501</v>
          </cell>
          <cell r="G10">
            <v>10606.29</v>
          </cell>
          <cell r="H10">
            <v>171</v>
          </cell>
          <cell r="I10">
            <v>4022.16</v>
          </cell>
        </row>
        <row r="20">
          <cell r="C20">
            <v>8663</v>
          </cell>
          <cell r="D20">
            <v>81118.070000000007</v>
          </cell>
          <cell r="F20">
            <v>3344</v>
          </cell>
          <cell r="G20">
            <v>49238.18</v>
          </cell>
          <cell r="H20">
            <v>714</v>
          </cell>
          <cell r="I20">
            <v>8377.0400000000009</v>
          </cell>
        </row>
        <row r="24">
          <cell r="C24">
            <v>4787</v>
          </cell>
          <cell r="D24">
            <v>139365.51</v>
          </cell>
          <cell r="F24">
            <v>695</v>
          </cell>
          <cell r="G24">
            <v>82131.570000000007</v>
          </cell>
          <cell r="H24">
            <v>305</v>
          </cell>
          <cell r="I24">
            <v>37866.57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17</v>
          </cell>
          <cell r="D33">
            <v>922.5</v>
          </cell>
          <cell r="F33">
            <v>0</v>
          </cell>
          <cell r="G33">
            <v>0</v>
          </cell>
          <cell r="H33">
            <v>1</v>
          </cell>
          <cell r="I33">
            <v>50</v>
          </cell>
        </row>
        <row r="36">
          <cell r="C36">
            <v>129</v>
          </cell>
          <cell r="D36">
            <v>2108.9499999999998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13474</v>
          </cell>
          <cell r="D40">
            <v>57822.04</v>
          </cell>
          <cell r="F40">
            <v>72</v>
          </cell>
          <cell r="G40">
            <v>114130.74</v>
          </cell>
          <cell r="H40">
            <v>44</v>
          </cell>
          <cell r="I40">
            <v>87123.95</v>
          </cell>
        </row>
        <row r="56">
          <cell r="C56">
            <v>23013</v>
          </cell>
          <cell r="D56">
            <v>110688.29</v>
          </cell>
          <cell r="F56">
            <v>494</v>
          </cell>
          <cell r="G56">
            <v>34517.35</v>
          </cell>
          <cell r="H56">
            <v>225</v>
          </cell>
          <cell r="I56">
            <v>13488.04</v>
          </cell>
        </row>
        <row r="88">
          <cell r="C88">
            <v>46459</v>
          </cell>
          <cell r="D88">
            <v>282799.33</v>
          </cell>
          <cell r="F88">
            <v>1318</v>
          </cell>
          <cell r="G88">
            <v>104214.59</v>
          </cell>
          <cell r="H88">
            <v>897</v>
          </cell>
          <cell r="I88">
            <v>205341.78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156</v>
          </cell>
          <cell r="D128">
            <v>587.6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8781</v>
          </cell>
          <cell r="D132">
            <v>13455.66</v>
          </cell>
          <cell r="F132">
            <v>16</v>
          </cell>
          <cell r="G132">
            <v>1706.55</v>
          </cell>
          <cell r="H132">
            <v>10</v>
          </cell>
          <cell r="I132">
            <v>1744.87</v>
          </cell>
        </row>
        <row r="153">
          <cell r="C153">
            <v>25</v>
          </cell>
          <cell r="D153">
            <v>4500.75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186</v>
          </cell>
          <cell r="D161">
            <v>7273.23</v>
          </cell>
          <cell r="F161">
            <v>2</v>
          </cell>
          <cell r="G161">
            <v>462.99</v>
          </cell>
          <cell r="H161">
            <v>4</v>
          </cell>
          <cell r="I161">
            <v>1143.1099999999999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40904</v>
          </cell>
          <cell r="D170">
            <v>25244.83</v>
          </cell>
          <cell r="F170">
            <v>221</v>
          </cell>
          <cell r="G170">
            <v>9817.09</v>
          </cell>
          <cell r="H170">
            <v>188</v>
          </cell>
          <cell r="I170">
            <v>5394.24</v>
          </cell>
        </row>
        <row r="175">
          <cell r="C175">
            <v>127981</v>
          </cell>
        </row>
      </sheetData>
      <sheetData sheetId="2">
        <row r="11">
          <cell r="C11">
            <v>23666</v>
          </cell>
          <cell r="D11">
            <v>142060.01</v>
          </cell>
          <cell r="J11">
            <v>989</v>
          </cell>
          <cell r="K11">
            <v>67015.23</v>
          </cell>
        </row>
        <row r="12">
          <cell r="C12">
            <v>3553</v>
          </cell>
          <cell r="D12">
            <v>40928.25</v>
          </cell>
          <cell r="J12">
            <v>180</v>
          </cell>
          <cell r="K12">
            <v>13019.77</v>
          </cell>
        </row>
        <row r="13">
          <cell r="C13">
            <v>191</v>
          </cell>
          <cell r="D13">
            <v>4310.07</v>
          </cell>
          <cell r="J13">
            <v>16</v>
          </cell>
          <cell r="K13">
            <v>825.47</v>
          </cell>
        </row>
        <row r="14">
          <cell r="C14">
            <v>317</v>
          </cell>
          <cell r="D14">
            <v>276.14</v>
          </cell>
          <cell r="J14">
            <v>7</v>
          </cell>
          <cell r="K14">
            <v>326.7</v>
          </cell>
        </row>
        <row r="15">
          <cell r="C15">
            <v>36</v>
          </cell>
          <cell r="D15">
            <v>106.41</v>
          </cell>
          <cell r="J15">
            <v>2</v>
          </cell>
          <cell r="K15">
            <v>640.82000000000005</v>
          </cell>
        </row>
        <row r="16">
          <cell r="C16">
            <v>3104</v>
          </cell>
          <cell r="D16">
            <v>6996.61</v>
          </cell>
          <cell r="J16">
            <v>2</v>
          </cell>
          <cell r="K16">
            <v>86.21</v>
          </cell>
        </row>
        <row r="17">
          <cell r="C17">
            <v>875</v>
          </cell>
          <cell r="D17">
            <v>280.33999999999997</v>
          </cell>
          <cell r="J17">
            <v>0</v>
          </cell>
          <cell r="K17">
            <v>0</v>
          </cell>
        </row>
        <row r="18">
          <cell r="C18">
            <v>92</v>
          </cell>
          <cell r="D18">
            <v>298.26</v>
          </cell>
          <cell r="J18">
            <v>9</v>
          </cell>
          <cell r="K18">
            <v>858.71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11968</v>
          </cell>
          <cell r="D25">
            <v>56058.89</v>
          </cell>
          <cell r="J25">
            <v>27</v>
          </cell>
          <cell r="K25">
            <v>6091.38</v>
          </cell>
        </row>
        <row r="26">
          <cell r="C26">
            <v>731</v>
          </cell>
          <cell r="D26">
            <v>11299.31</v>
          </cell>
          <cell r="J26">
            <v>54</v>
          </cell>
          <cell r="K26">
            <v>9431.2900000000009</v>
          </cell>
        </row>
        <row r="27">
          <cell r="C27">
            <v>115</v>
          </cell>
          <cell r="D27">
            <v>1819.32</v>
          </cell>
          <cell r="J27">
            <v>5</v>
          </cell>
          <cell r="K27">
            <v>2974.81</v>
          </cell>
        </row>
        <row r="28">
          <cell r="C28">
            <v>4</v>
          </cell>
          <cell r="D28">
            <v>22.14</v>
          </cell>
          <cell r="J28">
            <v>0</v>
          </cell>
          <cell r="K28">
            <v>0</v>
          </cell>
        </row>
        <row r="29">
          <cell r="C29">
            <v>4</v>
          </cell>
          <cell r="D29">
            <v>22.14</v>
          </cell>
          <cell r="J29">
            <v>0</v>
          </cell>
          <cell r="K29">
            <v>0</v>
          </cell>
        </row>
        <row r="30">
          <cell r="C30">
            <v>527</v>
          </cell>
          <cell r="D30">
            <v>942.4</v>
          </cell>
          <cell r="J30">
            <v>0</v>
          </cell>
          <cell r="K30">
            <v>0</v>
          </cell>
        </row>
        <row r="31">
          <cell r="C31">
            <v>611</v>
          </cell>
          <cell r="D31">
            <v>3151.81</v>
          </cell>
          <cell r="J31">
            <v>0</v>
          </cell>
          <cell r="K31">
            <v>0</v>
          </cell>
        </row>
        <row r="32">
          <cell r="C32">
            <v>2</v>
          </cell>
          <cell r="D32">
            <v>11.07</v>
          </cell>
          <cell r="J32">
            <v>0</v>
          </cell>
          <cell r="K32">
            <v>0</v>
          </cell>
        </row>
        <row r="34">
          <cell r="C34">
            <v>107</v>
          </cell>
          <cell r="D34">
            <v>705.9</v>
          </cell>
          <cell r="J34">
            <v>1</v>
          </cell>
          <cell r="K34">
            <v>142.15</v>
          </cell>
        </row>
        <row r="35">
          <cell r="C35">
            <v>3</v>
          </cell>
          <cell r="D35">
            <v>22.15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1.23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2</v>
          </cell>
          <cell r="D39">
            <v>9.8699999999999992</v>
          </cell>
          <cell r="J39">
            <v>0</v>
          </cell>
          <cell r="K39">
            <v>0</v>
          </cell>
        </row>
        <row r="40">
          <cell r="C40">
            <v>7</v>
          </cell>
          <cell r="D40">
            <v>4.62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35451.129999999997</v>
          </cell>
        </row>
        <row r="11">
          <cell r="P11">
            <v>67598.720000000001</v>
          </cell>
        </row>
        <row r="12">
          <cell r="P12">
            <v>111492.41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738</v>
          </cell>
        </row>
        <row r="16">
          <cell r="P16">
            <v>1687.16</v>
          </cell>
        </row>
        <row r="17">
          <cell r="P17">
            <v>46488.72</v>
          </cell>
        </row>
        <row r="20">
          <cell r="P20">
            <v>89503.35</v>
          </cell>
        </row>
        <row r="26">
          <cell r="P26">
            <v>217537.94</v>
          </cell>
        </row>
        <row r="33">
          <cell r="P33">
            <v>0</v>
          </cell>
        </row>
        <row r="34">
          <cell r="P34">
            <v>489.67</v>
          </cell>
        </row>
        <row r="35">
          <cell r="P35">
            <v>11144.71</v>
          </cell>
        </row>
        <row r="36">
          <cell r="P36">
            <v>3150.46</v>
          </cell>
        </row>
        <row r="37">
          <cell r="P37">
            <v>0</v>
          </cell>
        </row>
        <row r="38">
          <cell r="P38">
            <v>6061.03</v>
          </cell>
        </row>
        <row r="39">
          <cell r="P39">
            <v>0</v>
          </cell>
        </row>
        <row r="40">
          <cell r="P40">
            <v>16984.28</v>
          </cell>
        </row>
      </sheetData>
      <sheetData sheetId="5">
        <row r="10">
          <cell r="G10">
            <v>11356.79</v>
          </cell>
        </row>
        <row r="11">
          <cell r="G11">
            <v>12444.32</v>
          </cell>
        </row>
        <row r="12">
          <cell r="G12">
            <v>26000.720000000001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2041.61</v>
          </cell>
        </row>
        <row r="20">
          <cell r="G20">
            <v>13130.1</v>
          </cell>
        </row>
        <row r="26">
          <cell r="G26">
            <v>189302.32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500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3732.41</v>
          </cell>
        </row>
        <row r="41">
          <cell r="C41">
            <v>714935.45</v>
          </cell>
          <cell r="D41">
            <v>7062.12</v>
          </cell>
          <cell r="E41">
            <v>364551.76</v>
          </cell>
          <cell r="G41">
            <v>258508.27</v>
          </cell>
          <cell r="I41">
            <v>19994.88</v>
          </cell>
          <cell r="K41">
            <v>29742.81</v>
          </cell>
          <cell r="M41">
            <v>0</v>
          </cell>
        </row>
      </sheetData>
      <sheetData sheetId="6">
        <row r="9">
          <cell r="C9">
            <v>48594</v>
          </cell>
          <cell r="D9">
            <v>430974.68</v>
          </cell>
          <cell r="E9"/>
        </row>
        <row r="18">
          <cell r="C18">
            <v>17154</v>
          </cell>
          <cell r="D18">
            <v>150945.24</v>
          </cell>
          <cell r="E18">
            <v>28700.5</v>
          </cell>
        </row>
        <row r="19">
          <cell r="C19">
            <v>2111</v>
          </cell>
          <cell r="D19">
            <v>9279.2800000000007</v>
          </cell>
          <cell r="E19">
            <v>2152.89</v>
          </cell>
        </row>
        <row r="20">
          <cell r="C20">
            <v>2167</v>
          </cell>
          <cell r="D20">
            <v>1424.69</v>
          </cell>
          <cell r="E20">
            <v>427.42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24074</v>
          </cell>
          <cell r="D22">
            <v>32514.31</v>
          </cell>
          <cell r="E22">
            <v>9774.0499999999993</v>
          </cell>
        </row>
        <row r="29">
          <cell r="C29">
            <v>19154</v>
          </cell>
          <cell r="D29">
            <v>132671.84</v>
          </cell>
          <cell r="E29">
            <v>25606.38</v>
          </cell>
        </row>
        <row r="38">
          <cell r="C38">
            <v>14727</v>
          </cell>
          <cell r="D38">
            <v>10600.52</v>
          </cell>
          <cell r="E38">
            <v>874.88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28506</v>
          </cell>
          <cell r="D10">
            <v>67402</v>
          </cell>
          <cell r="F10">
            <v>668</v>
          </cell>
          <cell r="G10">
            <v>39435</v>
          </cell>
          <cell r="H10">
            <v>198</v>
          </cell>
          <cell r="I10">
            <v>9630</v>
          </cell>
        </row>
        <row r="20">
          <cell r="C20">
            <v>750</v>
          </cell>
          <cell r="D20">
            <v>151748</v>
          </cell>
          <cell r="F20">
            <v>6829</v>
          </cell>
          <cell r="G20">
            <v>79142</v>
          </cell>
          <cell r="H20">
            <v>914</v>
          </cell>
          <cell r="I20">
            <v>16739</v>
          </cell>
        </row>
        <row r="24">
          <cell r="C24">
            <v>2927</v>
          </cell>
          <cell r="D24">
            <v>83522</v>
          </cell>
          <cell r="F24">
            <v>328</v>
          </cell>
          <cell r="G24">
            <v>25257</v>
          </cell>
          <cell r="H24">
            <v>383</v>
          </cell>
          <cell r="I24">
            <v>31766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4</v>
          </cell>
          <cell r="D30">
            <v>76054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302</v>
          </cell>
          <cell r="D36">
            <v>3345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7157</v>
          </cell>
          <cell r="D40">
            <v>470727</v>
          </cell>
          <cell r="F40">
            <v>219</v>
          </cell>
          <cell r="G40">
            <v>9210</v>
          </cell>
          <cell r="H40">
            <v>67</v>
          </cell>
          <cell r="I40">
            <v>35593</v>
          </cell>
        </row>
        <row r="56">
          <cell r="C56">
            <v>6184</v>
          </cell>
          <cell r="D56">
            <v>274675</v>
          </cell>
          <cell r="F56">
            <v>56</v>
          </cell>
          <cell r="G56">
            <v>1670</v>
          </cell>
          <cell r="H56">
            <v>40</v>
          </cell>
          <cell r="I56">
            <v>3432</v>
          </cell>
        </row>
        <row r="88">
          <cell r="C88">
            <v>43796</v>
          </cell>
          <cell r="D88">
            <v>237219</v>
          </cell>
          <cell r="F88">
            <v>1175</v>
          </cell>
          <cell r="G88">
            <v>100339</v>
          </cell>
          <cell r="H88">
            <v>1633</v>
          </cell>
          <cell r="I88">
            <v>257930</v>
          </cell>
        </row>
        <row r="124">
          <cell r="C124">
            <v>2</v>
          </cell>
          <cell r="D124">
            <v>8186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108</v>
          </cell>
          <cell r="D128">
            <v>413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7088</v>
          </cell>
          <cell r="D132">
            <v>125667</v>
          </cell>
          <cell r="F132">
            <v>33</v>
          </cell>
          <cell r="G132">
            <v>654</v>
          </cell>
          <cell r="H132">
            <v>39</v>
          </cell>
          <cell r="I132">
            <v>4085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3</v>
          </cell>
          <cell r="D158">
            <v>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538</v>
          </cell>
          <cell r="D161">
            <v>612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45895</v>
          </cell>
          <cell r="D170">
            <v>23822</v>
          </cell>
          <cell r="F170">
            <v>181</v>
          </cell>
          <cell r="G170">
            <v>6058</v>
          </cell>
          <cell r="H170">
            <v>192</v>
          </cell>
          <cell r="I170">
            <v>8583</v>
          </cell>
        </row>
        <row r="175">
          <cell r="C175">
            <v>102293</v>
          </cell>
        </row>
      </sheetData>
      <sheetData sheetId="1">
        <row r="11">
          <cell r="C11">
            <v>24629</v>
          </cell>
          <cell r="D11">
            <v>134226</v>
          </cell>
          <cell r="J11">
            <v>978</v>
          </cell>
          <cell r="K11">
            <v>72868</v>
          </cell>
        </row>
        <row r="12">
          <cell r="C12">
            <v>2320</v>
          </cell>
          <cell r="D12">
            <v>27393</v>
          </cell>
          <cell r="J12">
            <v>130</v>
          </cell>
          <cell r="K12">
            <v>9456</v>
          </cell>
        </row>
        <row r="13">
          <cell r="C13">
            <v>427</v>
          </cell>
          <cell r="D13">
            <v>3099</v>
          </cell>
          <cell r="J13">
            <v>7</v>
          </cell>
          <cell r="K13">
            <v>216</v>
          </cell>
        </row>
        <row r="14">
          <cell r="C14">
            <v>259</v>
          </cell>
          <cell r="D14">
            <v>189</v>
          </cell>
          <cell r="J14">
            <v>3</v>
          </cell>
          <cell r="K14">
            <v>120</v>
          </cell>
        </row>
        <row r="15">
          <cell r="C15">
            <v>19</v>
          </cell>
          <cell r="D15">
            <v>62</v>
          </cell>
          <cell r="J15">
            <v>0</v>
          </cell>
          <cell r="K15">
            <v>0</v>
          </cell>
        </row>
        <row r="16">
          <cell r="C16">
            <v>2195</v>
          </cell>
          <cell r="D16">
            <v>3414</v>
          </cell>
          <cell r="J16">
            <v>2</v>
          </cell>
          <cell r="K16">
            <v>86</v>
          </cell>
        </row>
        <row r="17">
          <cell r="C17">
            <v>472</v>
          </cell>
          <cell r="D17">
            <v>150</v>
          </cell>
          <cell r="J17">
            <v>0</v>
          </cell>
          <cell r="K17">
            <v>62</v>
          </cell>
        </row>
        <row r="18">
          <cell r="C18">
            <v>92</v>
          </cell>
          <cell r="D18">
            <v>384</v>
          </cell>
          <cell r="J18">
            <v>2</v>
          </cell>
          <cell r="K18">
            <v>23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692</v>
          </cell>
          <cell r="D21">
            <v>527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16</v>
          </cell>
          <cell r="D23">
            <v>122</v>
          </cell>
          <cell r="J23">
            <v>0</v>
          </cell>
          <cell r="K23">
            <v>0</v>
          </cell>
        </row>
        <row r="25">
          <cell r="C25">
            <v>11179</v>
          </cell>
          <cell r="D25">
            <v>51270</v>
          </cell>
          <cell r="J25">
            <v>31</v>
          </cell>
          <cell r="K25">
            <v>12733</v>
          </cell>
        </row>
        <row r="26">
          <cell r="C26">
            <v>332</v>
          </cell>
          <cell r="D26">
            <v>5545</v>
          </cell>
          <cell r="J26">
            <v>16</v>
          </cell>
          <cell r="K26">
            <v>4429</v>
          </cell>
        </row>
        <row r="27">
          <cell r="C27">
            <v>353</v>
          </cell>
          <cell r="D27">
            <v>3237</v>
          </cell>
          <cell r="J27">
            <v>5</v>
          </cell>
          <cell r="K27">
            <v>330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5</v>
          </cell>
          <cell r="D29">
            <v>28</v>
          </cell>
          <cell r="J29">
            <v>0</v>
          </cell>
          <cell r="K29">
            <v>0</v>
          </cell>
        </row>
        <row r="30">
          <cell r="C30">
            <v>216</v>
          </cell>
          <cell r="D30">
            <v>383</v>
          </cell>
          <cell r="J30">
            <v>1</v>
          </cell>
          <cell r="K30">
            <v>16</v>
          </cell>
        </row>
        <row r="31">
          <cell r="C31">
            <v>263</v>
          </cell>
          <cell r="D31">
            <v>1395</v>
          </cell>
          <cell r="J31">
            <v>0</v>
          </cell>
          <cell r="K31">
            <v>0</v>
          </cell>
        </row>
        <row r="32">
          <cell r="C32">
            <v>2</v>
          </cell>
          <cell r="D32">
            <v>11</v>
          </cell>
          <cell r="J32">
            <v>0</v>
          </cell>
          <cell r="K32">
            <v>0</v>
          </cell>
        </row>
        <row r="34">
          <cell r="C34">
            <v>109</v>
          </cell>
          <cell r="D34">
            <v>748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14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5</v>
          </cell>
          <cell r="D39">
            <v>30</v>
          </cell>
          <cell r="J39">
            <v>0</v>
          </cell>
          <cell r="K39">
            <v>0</v>
          </cell>
        </row>
        <row r="40">
          <cell r="C40">
            <v>4</v>
          </cell>
          <cell r="D40">
            <v>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/>
      <sheetData sheetId="3">
        <row r="10">
          <cell r="P10">
            <v>49195</v>
          </cell>
        </row>
        <row r="11">
          <cell r="P11">
            <v>127468</v>
          </cell>
        </row>
        <row r="12">
          <cell r="P12">
            <v>70994</v>
          </cell>
        </row>
        <row r="13">
          <cell r="P13">
            <v>0</v>
          </cell>
        </row>
        <row r="14">
          <cell r="P14">
            <v>57041</v>
          </cell>
        </row>
        <row r="15">
          <cell r="P15">
            <v>0</v>
          </cell>
        </row>
        <row r="16">
          <cell r="P16">
            <v>2509</v>
          </cell>
        </row>
        <row r="17">
          <cell r="P17">
            <v>400039</v>
          </cell>
        </row>
        <row r="20">
          <cell r="P20">
            <v>233428</v>
          </cell>
        </row>
        <row r="26">
          <cell r="P26">
            <v>184517</v>
          </cell>
        </row>
        <row r="33">
          <cell r="P33">
            <v>6140</v>
          </cell>
        </row>
        <row r="34">
          <cell r="P34">
            <v>315</v>
          </cell>
        </row>
        <row r="35">
          <cell r="P35">
            <v>104304</v>
          </cell>
        </row>
        <row r="36">
          <cell r="P36">
            <v>0</v>
          </cell>
        </row>
        <row r="37">
          <cell r="P37">
            <v>4</v>
          </cell>
        </row>
        <row r="38">
          <cell r="P38">
            <v>520</v>
          </cell>
        </row>
        <row r="39">
          <cell r="P39">
            <v>0</v>
          </cell>
        </row>
        <row r="40">
          <cell r="P40">
            <v>13102</v>
          </cell>
        </row>
      </sheetData>
      <sheetData sheetId="4">
        <row r="10">
          <cell r="G10">
            <v>31398</v>
          </cell>
        </row>
        <row r="11">
          <cell r="G11">
            <v>7692</v>
          </cell>
        </row>
        <row r="12">
          <cell r="G12">
            <v>15468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78</v>
          </cell>
        </row>
        <row r="17">
          <cell r="G17">
            <v>10581</v>
          </cell>
        </row>
        <row r="20">
          <cell r="G20">
            <v>2980</v>
          </cell>
        </row>
        <row r="26">
          <cell r="G26">
            <v>196425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3979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2671</v>
          </cell>
        </row>
        <row r="41">
          <cell r="C41">
            <v>1410609</v>
          </cell>
          <cell r="D41">
            <v>6456</v>
          </cell>
          <cell r="E41">
            <v>367758</v>
          </cell>
          <cell r="G41">
            <v>271272</v>
          </cell>
          <cell r="I41">
            <v>6142</v>
          </cell>
          <cell r="K41">
            <v>12201</v>
          </cell>
          <cell r="M41">
            <v>0</v>
          </cell>
        </row>
      </sheetData>
      <sheetData sheetId="5">
        <row r="9">
          <cell r="C9">
            <v>73083</v>
          </cell>
          <cell r="D9">
            <v>1306545.8899999999</v>
          </cell>
          <cell r="E9"/>
        </row>
        <row r="18">
          <cell r="C18">
            <v>14834</v>
          </cell>
          <cell r="D18">
            <v>182239.57</v>
          </cell>
          <cell r="E18">
            <v>42352.65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11135</v>
          </cell>
          <cell r="D20">
            <v>5642.68</v>
          </cell>
          <cell r="E20">
            <v>1821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3241</v>
          </cell>
          <cell r="D29">
            <v>28968.93</v>
          </cell>
          <cell r="E29">
            <v>6733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34291</v>
          </cell>
          <cell r="D10">
            <v>14957.19</v>
          </cell>
          <cell r="F10">
            <v>308</v>
          </cell>
          <cell r="G10">
            <v>4581.93</v>
          </cell>
          <cell r="H10">
            <v>138</v>
          </cell>
          <cell r="I10">
            <v>2923.3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623</v>
          </cell>
          <cell r="D24">
            <v>11046.52</v>
          </cell>
          <cell r="F24">
            <v>70</v>
          </cell>
          <cell r="G24">
            <v>6586.94</v>
          </cell>
          <cell r="H24">
            <v>158</v>
          </cell>
          <cell r="I24">
            <v>9702.67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548</v>
          </cell>
          <cell r="D40">
            <v>2097.88</v>
          </cell>
          <cell r="F40">
            <v>2</v>
          </cell>
          <cell r="G40">
            <v>54.9</v>
          </cell>
          <cell r="H40">
            <v>25</v>
          </cell>
          <cell r="I40">
            <v>882.31</v>
          </cell>
        </row>
        <row r="56">
          <cell r="C56">
            <v>335</v>
          </cell>
          <cell r="D56">
            <v>790.29</v>
          </cell>
          <cell r="F56">
            <v>3</v>
          </cell>
          <cell r="G56">
            <v>29.05</v>
          </cell>
          <cell r="H56">
            <v>14</v>
          </cell>
          <cell r="I56">
            <v>504.25</v>
          </cell>
        </row>
        <row r="88">
          <cell r="C88">
            <v>56057</v>
          </cell>
          <cell r="D88">
            <v>298904.33</v>
          </cell>
          <cell r="F88">
            <v>2094</v>
          </cell>
          <cell r="G88">
            <v>120210.95</v>
          </cell>
          <cell r="H88">
            <v>3588</v>
          </cell>
          <cell r="I88">
            <v>205281.43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183</v>
          </cell>
          <cell r="D132">
            <v>501.64</v>
          </cell>
          <cell r="F132">
            <v>1</v>
          </cell>
          <cell r="G132">
            <v>24.38</v>
          </cell>
          <cell r="H132">
            <v>6</v>
          </cell>
          <cell r="I132">
            <v>206.8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3603</v>
          </cell>
          <cell r="D170">
            <v>2062.19</v>
          </cell>
          <cell r="F170">
            <v>23</v>
          </cell>
          <cell r="G170">
            <v>653.27</v>
          </cell>
          <cell r="H170">
            <v>77</v>
          </cell>
          <cell r="I170">
            <v>1196.56</v>
          </cell>
        </row>
        <row r="175">
          <cell r="C175">
            <v>60767</v>
          </cell>
        </row>
      </sheetData>
      <sheetData sheetId="1">
        <row r="11">
          <cell r="C11">
            <v>32529</v>
          </cell>
          <cell r="D11">
            <v>183011.41</v>
          </cell>
          <cell r="J11">
            <v>1823</v>
          </cell>
          <cell r="K11">
            <v>94334.63</v>
          </cell>
        </row>
        <row r="12">
          <cell r="C12">
            <v>2768</v>
          </cell>
          <cell r="D12">
            <v>29705.78</v>
          </cell>
          <cell r="J12">
            <v>133</v>
          </cell>
          <cell r="K12">
            <v>6428.97</v>
          </cell>
        </row>
        <row r="13">
          <cell r="C13">
            <v>129</v>
          </cell>
          <cell r="D13">
            <v>3052.52</v>
          </cell>
          <cell r="J13">
            <v>24</v>
          </cell>
          <cell r="K13">
            <v>2393.0100000000002</v>
          </cell>
        </row>
        <row r="14">
          <cell r="C14">
            <v>382</v>
          </cell>
          <cell r="D14">
            <v>322.63</v>
          </cell>
          <cell r="J14">
            <v>4</v>
          </cell>
          <cell r="K14">
            <v>275.13</v>
          </cell>
        </row>
        <row r="15">
          <cell r="C15">
            <v>125</v>
          </cell>
          <cell r="D15">
            <v>468.92</v>
          </cell>
          <cell r="J15">
            <v>3</v>
          </cell>
          <cell r="K15">
            <v>499.33</v>
          </cell>
        </row>
        <row r="16">
          <cell r="C16">
            <v>3375</v>
          </cell>
          <cell r="D16">
            <v>6180.25</v>
          </cell>
          <cell r="J16">
            <v>32</v>
          </cell>
          <cell r="K16">
            <v>1500.91</v>
          </cell>
        </row>
        <row r="17">
          <cell r="C17">
            <v>696</v>
          </cell>
          <cell r="D17">
            <v>210.46</v>
          </cell>
          <cell r="J17">
            <v>2</v>
          </cell>
          <cell r="K17">
            <v>39.18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13012</v>
          </cell>
          <cell r="D25">
            <v>58837.05</v>
          </cell>
          <cell r="J25">
            <v>37</v>
          </cell>
          <cell r="K25">
            <v>7683.56</v>
          </cell>
        </row>
        <row r="26">
          <cell r="C26">
            <v>390</v>
          </cell>
          <cell r="D26">
            <v>6293.53</v>
          </cell>
          <cell r="J26">
            <v>23</v>
          </cell>
          <cell r="K26">
            <v>6421.77</v>
          </cell>
        </row>
        <row r="27">
          <cell r="C27">
            <v>49</v>
          </cell>
          <cell r="D27">
            <v>793.11</v>
          </cell>
          <cell r="J27">
            <v>9</v>
          </cell>
          <cell r="K27">
            <v>75.17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361</v>
          </cell>
          <cell r="D30">
            <v>636.85</v>
          </cell>
          <cell r="J30">
            <v>1</v>
          </cell>
          <cell r="K30">
            <v>69.430000000000007</v>
          </cell>
        </row>
        <row r="31">
          <cell r="C31">
            <v>357</v>
          </cell>
          <cell r="D31">
            <v>1814.04</v>
          </cell>
          <cell r="J31">
            <v>2</v>
          </cell>
          <cell r="K31">
            <v>428.18</v>
          </cell>
        </row>
        <row r="32">
          <cell r="C32">
            <v>5</v>
          </cell>
          <cell r="D32">
            <v>27.68</v>
          </cell>
          <cell r="J32">
            <v>0</v>
          </cell>
          <cell r="K32">
            <v>0</v>
          </cell>
        </row>
        <row r="34">
          <cell r="C34">
            <v>1848</v>
          </cell>
          <cell r="D34">
            <v>6978.23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1</v>
          </cell>
          <cell r="K35">
            <v>61.68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/>
      <sheetData sheetId="3">
        <row r="10">
          <cell r="P10">
            <v>11966</v>
          </cell>
        </row>
        <row r="11">
          <cell r="P11">
            <v>0</v>
          </cell>
        </row>
        <row r="12">
          <cell r="P12">
            <v>8837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1678</v>
          </cell>
        </row>
        <row r="20">
          <cell r="P20">
            <v>632</v>
          </cell>
        </row>
        <row r="26">
          <cell r="P26">
            <v>209633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401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1650</v>
          </cell>
        </row>
      </sheetData>
      <sheetData sheetId="4">
        <row r="10">
          <cell r="G10">
            <v>4232</v>
          </cell>
        </row>
        <row r="11">
          <cell r="G11">
            <v>0</v>
          </cell>
        </row>
        <row r="12">
          <cell r="G12">
            <v>112.4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47.16</v>
          </cell>
        </row>
        <row r="20">
          <cell r="G20">
            <v>47.16</v>
          </cell>
        </row>
        <row r="26">
          <cell r="G26">
            <v>110137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54.1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810.6</v>
          </cell>
        </row>
        <row r="41">
          <cell r="C41">
            <v>332392.8</v>
          </cell>
          <cell r="D41">
            <v>0</v>
          </cell>
          <cell r="E41">
            <v>220697.32</v>
          </cell>
          <cell r="G41">
            <v>115440.42</v>
          </cell>
          <cell r="I41">
            <v>2448.6999999999998</v>
          </cell>
          <cell r="K41">
            <v>1704.83</v>
          </cell>
          <cell r="M41">
            <v>0</v>
          </cell>
        </row>
      </sheetData>
      <sheetData sheetId="5">
        <row r="9">
          <cell r="C9">
            <v>200</v>
          </cell>
          <cell r="D9">
            <v>1451</v>
          </cell>
        </row>
        <row r="18">
          <cell r="C18">
            <v>34765</v>
          </cell>
          <cell r="D18">
            <v>183429</v>
          </cell>
          <cell r="E18">
            <v>56920</v>
          </cell>
        </row>
        <row r="19">
          <cell r="C19">
            <v>717</v>
          </cell>
          <cell r="D19">
            <v>4333</v>
          </cell>
          <cell r="E19">
            <v>1495</v>
          </cell>
        </row>
        <row r="20">
          <cell r="C20">
            <v>241</v>
          </cell>
          <cell r="D20">
            <v>114</v>
          </cell>
          <cell r="E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24844</v>
          </cell>
          <cell r="D29">
            <v>141033</v>
          </cell>
          <cell r="E29">
            <v>37487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51394</v>
          </cell>
          <cell r="D10">
            <v>37965</v>
          </cell>
          <cell r="F10">
            <v>357</v>
          </cell>
          <cell r="G10">
            <v>13695</v>
          </cell>
          <cell r="H10">
            <v>37</v>
          </cell>
          <cell r="I10">
            <v>2561</v>
          </cell>
        </row>
        <row r="20">
          <cell r="C20">
            <v>458</v>
          </cell>
          <cell r="D20">
            <v>75711</v>
          </cell>
          <cell r="F20">
            <v>3235</v>
          </cell>
          <cell r="G20">
            <v>37153</v>
          </cell>
          <cell r="H20">
            <v>15</v>
          </cell>
          <cell r="I20">
            <v>87</v>
          </cell>
        </row>
        <row r="24">
          <cell r="C24">
            <v>2000</v>
          </cell>
          <cell r="D24">
            <v>61298</v>
          </cell>
          <cell r="F24">
            <v>326</v>
          </cell>
          <cell r="G24">
            <v>29307</v>
          </cell>
          <cell r="H24">
            <v>155</v>
          </cell>
          <cell r="I24">
            <v>7616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43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101</v>
          </cell>
          <cell r="D36">
            <v>8721</v>
          </cell>
          <cell r="F36">
            <v>9</v>
          </cell>
          <cell r="G36">
            <v>152</v>
          </cell>
          <cell r="H36">
            <v>0</v>
          </cell>
          <cell r="I36">
            <v>0</v>
          </cell>
        </row>
        <row r="40">
          <cell r="C40">
            <v>2858</v>
          </cell>
          <cell r="D40">
            <v>33092</v>
          </cell>
          <cell r="F40">
            <v>12</v>
          </cell>
          <cell r="G40">
            <v>13922</v>
          </cell>
          <cell r="H40">
            <v>11</v>
          </cell>
          <cell r="I40">
            <v>13584</v>
          </cell>
        </row>
        <row r="56">
          <cell r="C56">
            <v>1614</v>
          </cell>
          <cell r="D56">
            <v>143974</v>
          </cell>
          <cell r="F56">
            <v>179</v>
          </cell>
          <cell r="G56">
            <v>5285</v>
          </cell>
          <cell r="H56">
            <v>35</v>
          </cell>
          <cell r="I56">
            <v>49367</v>
          </cell>
        </row>
        <row r="88">
          <cell r="C88">
            <v>91113</v>
          </cell>
          <cell r="D88">
            <v>517623</v>
          </cell>
          <cell r="F88">
            <v>2662</v>
          </cell>
          <cell r="G88">
            <v>206076</v>
          </cell>
          <cell r="H88">
            <v>1124</v>
          </cell>
          <cell r="I88">
            <v>121145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52</v>
          </cell>
          <cell r="D128">
            <v>220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1473</v>
          </cell>
          <cell r="D132">
            <v>34410</v>
          </cell>
          <cell r="F132">
            <v>4</v>
          </cell>
          <cell r="G132">
            <v>719</v>
          </cell>
          <cell r="H132">
            <v>23</v>
          </cell>
          <cell r="I132">
            <v>12573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12</v>
          </cell>
          <cell r="D161">
            <v>7542</v>
          </cell>
          <cell r="F161">
            <v>0</v>
          </cell>
          <cell r="G161">
            <v>11</v>
          </cell>
          <cell r="H161">
            <v>2</v>
          </cell>
          <cell r="I161">
            <v>2713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19999</v>
          </cell>
          <cell r="D170">
            <v>11477</v>
          </cell>
          <cell r="F170">
            <v>74</v>
          </cell>
          <cell r="G170">
            <v>2057</v>
          </cell>
          <cell r="H170">
            <v>29</v>
          </cell>
          <cell r="I170">
            <v>1120</v>
          </cell>
        </row>
        <row r="175">
          <cell r="C175">
            <v>116825</v>
          </cell>
        </row>
      </sheetData>
      <sheetData sheetId="2">
        <row r="11">
          <cell r="C11">
            <v>52928</v>
          </cell>
          <cell r="D11">
            <v>307142</v>
          </cell>
          <cell r="J11">
            <v>2256</v>
          </cell>
          <cell r="K11">
            <v>164588</v>
          </cell>
        </row>
        <row r="12">
          <cell r="C12">
            <v>6309</v>
          </cell>
          <cell r="D12">
            <v>65515</v>
          </cell>
          <cell r="J12">
            <v>230</v>
          </cell>
          <cell r="K12">
            <v>16143</v>
          </cell>
        </row>
        <row r="13">
          <cell r="C13">
            <v>290</v>
          </cell>
          <cell r="D13">
            <v>6644</v>
          </cell>
          <cell r="J13">
            <v>51</v>
          </cell>
          <cell r="K13">
            <v>3362</v>
          </cell>
        </row>
        <row r="14">
          <cell r="C14">
            <v>613</v>
          </cell>
          <cell r="D14">
            <v>499</v>
          </cell>
          <cell r="J14">
            <v>4</v>
          </cell>
          <cell r="K14">
            <v>1509</v>
          </cell>
        </row>
        <row r="15">
          <cell r="C15">
            <v>44</v>
          </cell>
          <cell r="D15">
            <v>142</v>
          </cell>
          <cell r="J15">
            <v>0</v>
          </cell>
          <cell r="K15">
            <v>0</v>
          </cell>
        </row>
        <row r="16">
          <cell r="C16">
            <v>4471</v>
          </cell>
          <cell r="D16">
            <v>8204</v>
          </cell>
          <cell r="J16">
            <v>22</v>
          </cell>
          <cell r="K16">
            <v>1011</v>
          </cell>
        </row>
        <row r="17">
          <cell r="C17">
            <v>1264</v>
          </cell>
          <cell r="D17">
            <v>392</v>
          </cell>
          <cell r="J17">
            <v>2</v>
          </cell>
          <cell r="K17">
            <v>73</v>
          </cell>
        </row>
        <row r="18">
          <cell r="C18">
            <v>228</v>
          </cell>
          <cell r="D18">
            <v>864</v>
          </cell>
          <cell r="J18">
            <v>13</v>
          </cell>
          <cell r="K18">
            <v>977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22487</v>
          </cell>
          <cell r="D25">
            <v>103410</v>
          </cell>
          <cell r="J25">
            <v>38</v>
          </cell>
          <cell r="K25">
            <v>9773</v>
          </cell>
        </row>
        <row r="26">
          <cell r="C26">
            <v>698</v>
          </cell>
          <cell r="D26">
            <v>11749</v>
          </cell>
          <cell r="J26">
            <v>35</v>
          </cell>
          <cell r="K26">
            <v>4204</v>
          </cell>
        </row>
        <row r="27">
          <cell r="C27">
            <v>92</v>
          </cell>
          <cell r="D27">
            <v>1559</v>
          </cell>
          <cell r="J27">
            <v>6</v>
          </cell>
          <cell r="K27">
            <v>525</v>
          </cell>
        </row>
        <row r="28">
          <cell r="C28">
            <v>3</v>
          </cell>
          <cell r="D28">
            <v>17</v>
          </cell>
          <cell r="J28">
            <v>0</v>
          </cell>
          <cell r="K28">
            <v>0</v>
          </cell>
        </row>
        <row r="29">
          <cell r="C29">
            <v>16</v>
          </cell>
          <cell r="D29">
            <v>83</v>
          </cell>
          <cell r="J29">
            <v>0</v>
          </cell>
          <cell r="K29">
            <v>0</v>
          </cell>
        </row>
        <row r="30">
          <cell r="C30">
            <v>514</v>
          </cell>
          <cell r="D30">
            <v>938</v>
          </cell>
          <cell r="J30">
            <v>0</v>
          </cell>
          <cell r="K30">
            <v>0</v>
          </cell>
        </row>
        <row r="31">
          <cell r="C31">
            <v>687</v>
          </cell>
          <cell r="D31">
            <v>3777</v>
          </cell>
          <cell r="J31">
            <v>1</v>
          </cell>
          <cell r="K31">
            <v>201</v>
          </cell>
        </row>
        <row r="32">
          <cell r="C32">
            <v>2</v>
          </cell>
          <cell r="D32">
            <v>11</v>
          </cell>
          <cell r="J32">
            <v>0</v>
          </cell>
          <cell r="K32">
            <v>0</v>
          </cell>
        </row>
        <row r="34">
          <cell r="C34">
            <v>302</v>
          </cell>
          <cell r="D34">
            <v>1944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26576</v>
          </cell>
        </row>
        <row r="11">
          <cell r="P11">
            <v>52998</v>
          </cell>
        </row>
        <row r="12">
          <cell r="P12">
            <v>42909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30</v>
          </cell>
        </row>
        <row r="16">
          <cell r="P16">
            <v>6105</v>
          </cell>
        </row>
        <row r="17">
          <cell r="P17">
            <v>23165</v>
          </cell>
        </row>
        <row r="20">
          <cell r="P20">
            <v>100782</v>
          </cell>
        </row>
        <row r="26">
          <cell r="P26">
            <v>398157</v>
          </cell>
        </row>
        <row r="33">
          <cell r="P33">
            <v>0</v>
          </cell>
        </row>
        <row r="34">
          <cell r="P34">
            <v>154</v>
          </cell>
        </row>
        <row r="35">
          <cell r="P35">
            <v>24087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5279</v>
          </cell>
        </row>
        <row r="39">
          <cell r="P39">
            <v>0</v>
          </cell>
        </row>
        <row r="40">
          <cell r="P40">
            <v>8034</v>
          </cell>
        </row>
      </sheetData>
      <sheetData sheetId="5">
        <row r="10">
          <cell r="G10">
            <v>12087</v>
          </cell>
        </row>
        <row r="11">
          <cell r="G11">
            <v>5691</v>
          </cell>
        </row>
        <row r="12">
          <cell r="G12">
            <v>8140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2038</v>
          </cell>
        </row>
        <row r="20">
          <cell r="G20">
            <v>7405</v>
          </cell>
        </row>
        <row r="26">
          <cell r="G26">
            <v>269065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5118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699</v>
          </cell>
        </row>
        <row r="41">
          <cell r="C41">
            <v>845603</v>
          </cell>
          <cell r="D41">
            <v>9</v>
          </cell>
          <cell r="E41">
            <v>210766</v>
          </cell>
          <cell r="G41">
            <v>310243</v>
          </cell>
          <cell r="I41">
            <v>9639</v>
          </cell>
          <cell r="K41">
            <v>6502</v>
          </cell>
          <cell r="M41">
            <v>0</v>
          </cell>
        </row>
      </sheetData>
      <sheetData sheetId="6">
        <row r="9">
          <cell r="C9">
            <v>10108</v>
          </cell>
          <cell r="D9">
            <v>88375</v>
          </cell>
          <cell r="E9"/>
        </row>
        <row r="18">
          <cell r="C18">
            <v>53457</v>
          </cell>
          <cell r="D18">
            <v>507710</v>
          </cell>
          <cell r="E18">
            <v>117195</v>
          </cell>
        </row>
        <row r="19">
          <cell r="C19">
            <v>8655</v>
          </cell>
          <cell r="D19">
            <v>47659</v>
          </cell>
          <cell r="E19">
            <v>14475</v>
          </cell>
        </row>
        <row r="20">
          <cell r="C20">
            <v>1173</v>
          </cell>
          <cell r="D20">
            <v>667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10</v>
          </cell>
          <cell r="D22">
            <v>116</v>
          </cell>
          <cell r="E22">
            <v>0</v>
          </cell>
        </row>
        <row r="29">
          <cell r="C29">
            <v>43422</v>
          </cell>
          <cell r="D29">
            <v>287549</v>
          </cell>
          <cell r="E29">
            <v>77376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3"/>
    </sheetNames>
    <sheetDataSet>
      <sheetData sheetId="0"/>
      <sheetData sheetId="1">
        <row r="10">
          <cell r="C10">
            <v>32469</v>
          </cell>
          <cell r="D10">
            <v>26009</v>
          </cell>
          <cell r="F10">
            <v>230</v>
          </cell>
          <cell r="G10">
            <v>13574</v>
          </cell>
          <cell r="H10">
            <v>70</v>
          </cell>
          <cell r="I10">
            <v>1054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3124</v>
          </cell>
          <cell r="D24">
            <v>69272</v>
          </cell>
          <cell r="F24">
            <v>334</v>
          </cell>
          <cell r="G24">
            <v>28642</v>
          </cell>
          <cell r="H24">
            <v>177</v>
          </cell>
          <cell r="I24">
            <v>16216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2</v>
          </cell>
          <cell r="D30">
            <v>562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5</v>
          </cell>
          <cell r="D33">
            <v>154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100</v>
          </cell>
          <cell r="D36">
            <v>1779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3780</v>
          </cell>
          <cell r="D40">
            <v>35094</v>
          </cell>
          <cell r="F40">
            <v>34</v>
          </cell>
          <cell r="G40">
            <v>4227</v>
          </cell>
          <cell r="H40">
            <v>44</v>
          </cell>
          <cell r="I40">
            <v>5844</v>
          </cell>
        </row>
        <row r="56">
          <cell r="C56">
            <v>1817</v>
          </cell>
          <cell r="D56">
            <v>18675.95</v>
          </cell>
          <cell r="F56">
            <v>65</v>
          </cell>
          <cell r="G56">
            <v>3909</v>
          </cell>
          <cell r="H56">
            <v>52</v>
          </cell>
          <cell r="I56">
            <v>3528</v>
          </cell>
        </row>
        <row r="88">
          <cell r="C88">
            <v>48790</v>
          </cell>
          <cell r="D88">
            <v>273698</v>
          </cell>
          <cell r="F88">
            <v>1340</v>
          </cell>
          <cell r="G88">
            <v>96390</v>
          </cell>
          <cell r="H88">
            <v>915</v>
          </cell>
          <cell r="I88">
            <v>165315</v>
          </cell>
        </row>
        <row r="124">
          <cell r="C124">
            <v>43</v>
          </cell>
          <cell r="D124">
            <v>1158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78</v>
          </cell>
          <cell r="D128">
            <v>259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2371</v>
          </cell>
          <cell r="D132">
            <v>12321</v>
          </cell>
          <cell r="F132">
            <v>27</v>
          </cell>
          <cell r="G132">
            <v>678</v>
          </cell>
          <cell r="H132">
            <v>27</v>
          </cell>
          <cell r="I132">
            <v>7446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14606</v>
          </cell>
          <cell r="D170">
            <v>11334</v>
          </cell>
          <cell r="F170">
            <v>164</v>
          </cell>
          <cell r="G170">
            <v>1851</v>
          </cell>
          <cell r="H170">
            <v>93</v>
          </cell>
          <cell r="I170">
            <v>4144</v>
          </cell>
        </row>
        <row r="175">
          <cell r="C175">
            <v>72360</v>
          </cell>
        </row>
      </sheetData>
      <sheetData sheetId="2">
        <row r="11">
          <cell r="C11">
            <v>28452</v>
          </cell>
          <cell r="D11">
            <v>156728</v>
          </cell>
          <cell r="J11">
            <v>1125</v>
          </cell>
          <cell r="K11">
            <v>65555</v>
          </cell>
        </row>
        <row r="12">
          <cell r="C12">
            <v>2992</v>
          </cell>
          <cell r="D12">
            <v>34671</v>
          </cell>
          <cell r="J12">
            <v>106</v>
          </cell>
          <cell r="K12">
            <v>9251</v>
          </cell>
        </row>
        <row r="13">
          <cell r="C13">
            <v>231</v>
          </cell>
          <cell r="D13">
            <v>5065</v>
          </cell>
          <cell r="J13">
            <v>17</v>
          </cell>
          <cell r="K13">
            <v>1061</v>
          </cell>
        </row>
        <row r="14">
          <cell r="C14">
            <v>504</v>
          </cell>
          <cell r="D14">
            <v>440</v>
          </cell>
          <cell r="J14">
            <v>5</v>
          </cell>
          <cell r="K14">
            <v>135</v>
          </cell>
        </row>
        <row r="15">
          <cell r="C15">
            <v>161</v>
          </cell>
          <cell r="D15">
            <v>599</v>
          </cell>
          <cell r="J15">
            <v>9</v>
          </cell>
          <cell r="K15">
            <v>699</v>
          </cell>
        </row>
        <row r="16">
          <cell r="C16">
            <v>2820</v>
          </cell>
          <cell r="D16">
            <v>4610</v>
          </cell>
          <cell r="J16">
            <v>13</v>
          </cell>
          <cell r="K16">
            <v>443</v>
          </cell>
        </row>
        <row r="17">
          <cell r="C17">
            <v>869</v>
          </cell>
          <cell r="D17">
            <v>295</v>
          </cell>
          <cell r="J17">
            <v>2</v>
          </cell>
          <cell r="K17">
            <v>50</v>
          </cell>
        </row>
        <row r="18">
          <cell r="C18">
            <v>204</v>
          </cell>
          <cell r="D18">
            <v>928</v>
          </cell>
          <cell r="J18">
            <v>20</v>
          </cell>
          <cell r="K18">
            <v>1335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10896</v>
          </cell>
          <cell r="D25">
            <v>51041</v>
          </cell>
          <cell r="J25">
            <v>15</v>
          </cell>
          <cell r="K25">
            <v>5884</v>
          </cell>
        </row>
        <row r="26">
          <cell r="C26">
            <v>541</v>
          </cell>
          <cell r="D26">
            <v>8639</v>
          </cell>
          <cell r="J26">
            <v>25</v>
          </cell>
          <cell r="K26">
            <v>10712</v>
          </cell>
        </row>
        <row r="27">
          <cell r="C27">
            <v>65</v>
          </cell>
          <cell r="D27">
            <v>1119</v>
          </cell>
          <cell r="J27">
            <v>2</v>
          </cell>
          <cell r="K27">
            <v>173</v>
          </cell>
        </row>
        <row r="28">
          <cell r="C28">
            <v>1</v>
          </cell>
          <cell r="D28">
            <v>17</v>
          </cell>
          <cell r="J28">
            <v>0</v>
          </cell>
          <cell r="K28">
            <v>0</v>
          </cell>
        </row>
        <row r="29">
          <cell r="C29">
            <v>10</v>
          </cell>
          <cell r="D29">
            <v>55</v>
          </cell>
          <cell r="J29">
            <v>0</v>
          </cell>
          <cell r="K29">
            <v>0</v>
          </cell>
        </row>
        <row r="30">
          <cell r="C30">
            <v>247</v>
          </cell>
          <cell r="D30">
            <v>437</v>
          </cell>
          <cell r="J30">
            <v>0</v>
          </cell>
          <cell r="K30">
            <v>0</v>
          </cell>
        </row>
        <row r="31">
          <cell r="C31">
            <v>509</v>
          </cell>
          <cell r="D31">
            <v>2636</v>
          </cell>
          <cell r="J31">
            <v>0</v>
          </cell>
          <cell r="K31">
            <v>0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48</v>
          </cell>
          <cell r="D34">
            <v>378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3</v>
          </cell>
          <cell r="D40">
            <v>5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18656</v>
          </cell>
        </row>
        <row r="11">
          <cell r="P11">
            <v>0</v>
          </cell>
        </row>
        <row r="12">
          <cell r="P12">
            <v>44182</v>
          </cell>
        </row>
        <row r="13">
          <cell r="P13">
            <v>0</v>
          </cell>
        </row>
        <row r="14">
          <cell r="P14">
            <v>393</v>
          </cell>
        </row>
        <row r="15">
          <cell r="P15">
            <v>108</v>
          </cell>
        </row>
        <row r="16">
          <cell r="P16">
            <v>1307</v>
          </cell>
        </row>
        <row r="17">
          <cell r="P17">
            <v>22812</v>
          </cell>
        </row>
        <row r="20">
          <cell r="P20">
            <v>13118</v>
          </cell>
        </row>
        <row r="26">
          <cell r="P26">
            <v>202606</v>
          </cell>
        </row>
        <row r="33">
          <cell r="P33">
            <v>869</v>
          </cell>
        </row>
        <row r="34">
          <cell r="P34">
            <v>168</v>
          </cell>
        </row>
        <row r="35">
          <cell r="P35">
            <v>8624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6141</v>
          </cell>
        </row>
      </sheetData>
      <sheetData sheetId="5">
        <row r="10">
          <cell r="G10">
            <v>14011.9</v>
          </cell>
        </row>
        <row r="11">
          <cell r="G11">
            <v>0</v>
          </cell>
        </row>
        <row r="12">
          <cell r="G12">
            <v>12313.78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5848.73</v>
          </cell>
        </row>
        <row r="20">
          <cell r="G20">
            <v>3530.39</v>
          </cell>
        </row>
        <row r="26">
          <cell r="G26">
            <v>243270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9885.07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4410.55</v>
          </cell>
        </row>
        <row r="41">
          <cell r="C41">
            <v>440504.95</v>
          </cell>
          <cell r="D41">
            <v>4618.45</v>
          </cell>
          <cell r="E41">
            <v>203547</v>
          </cell>
          <cell r="G41">
            <v>293270.43</v>
          </cell>
          <cell r="I41">
            <v>8654.1</v>
          </cell>
          <cell r="K41">
            <v>7230.3</v>
          </cell>
          <cell r="M41">
            <v>34645.11</v>
          </cell>
        </row>
      </sheetData>
      <sheetData sheetId="6">
        <row r="9">
          <cell r="C9">
            <v>48814</v>
          </cell>
          <cell r="D9">
            <v>305221</v>
          </cell>
          <cell r="E9"/>
        </row>
        <row r="18">
          <cell r="C18">
            <v>15355</v>
          </cell>
          <cell r="D18">
            <v>101330</v>
          </cell>
          <cell r="E18">
            <v>26606.93</v>
          </cell>
        </row>
        <row r="19">
          <cell r="C19">
            <v>1504</v>
          </cell>
          <cell r="D19">
            <v>8040</v>
          </cell>
          <cell r="E19">
            <v>2746.82</v>
          </cell>
        </row>
        <row r="20">
          <cell r="C20">
            <v>660</v>
          </cell>
          <cell r="D20">
            <v>603</v>
          </cell>
          <cell r="E20">
            <v>169.17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569</v>
          </cell>
          <cell r="D22">
            <v>1436</v>
          </cell>
          <cell r="E22">
            <v>0</v>
          </cell>
        </row>
        <row r="29">
          <cell r="C29">
            <v>5458</v>
          </cell>
          <cell r="D29">
            <v>33686</v>
          </cell>
          <cell r="E29">
            <v>6229.93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33468</v>
          </cell>
          <cell r="D10">
            <v>41996.11</v>
          </cell>
          <cell r="F10">
            <v>233</v>
          </cell>
          <cell r="G10">
            <v>12277.96</v>
          </cell>
          <cell r="H10">
            <v>79</v>
          </cell>
          <cell r="I10">
            <v>6832.87</v>
          </cell>
        </row>
        <row r="20">
          <cell r="C20">
            <v>4044</v>
          </cell>
          <cell r="D20">
            <v>100065.38</v>
          </cell>
          <cell r="F20">
            <v>3309</v>
          </cell>
          <cell r="G20">
            <v>34729.68</v>
          </cell>
          <cell r="H20">
            <v>127</v>
          </cell>
          <cell r="I20">
            <v>2221.96</v>
          </cell>
        </row>
        <row r="24">
          <cell r="C24">
            <v>2301</v>
          </cell>
          <cell r="D24">
            <v>68498.289999999994</v>
          </cell>
          <cell r="F24">
            <v>414</v>
          </cell>
          <cell r="G24">
            <v>40644.61</v>
          </cell>
          <cell r="H24">
            <v>163</v>
          </cell>
          <cell r="I24">
            <v>32254.02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20.3</v>
          </cell>
          <cell r="F33">
            <v>1</v>
          </cell>
          <cell r="G33">
            <v>1854.17</v>
          </cell>
          <cell r="H33">
            <v>0</v>
          </cell>
          <cell r="I33">
            <v>0</v>
          </cell>
        </row>
        <row r="36">
          <cell r="C36">
            <v>95</v>
          </cell>
          <cell r="D36">
            <v>742.62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3802</v>
          </cell>
          <cell r="D40">
            <v>44445.23</v>
          </cell>
          <cell r="F40">
            <v>12</v>
          </cell>
          <cell r="G40">
            <v>3270.76</v>
          </cell>
          <cell r="H40">
            <v>15</v>
          </cell>
          <cell r="I40">
            <v>7719.36</v>
          </cell>
        </row>
        <row r="56">
          <cell r="C56">
            <v>4065</v>
          </cell>
          <cell r="D56">
            <v>65065.56</v>
          </cell>
          <cell r="F56">
            <v>71</v>
          </cell>
          <cell r="G56">
            <v>3042.98</v>
          </cell>
          <cell r="H56">
            <v>27</v>
          </cell>
          <cell r="I56">
            <v>3009.36</v>
          </cell>
        </row>
        <row r="88">
          <cell r="C88">
            <v>31465</v>
          </cell>
          <cell r="D88">
            <v>184480.75</v>
          </cell>
          <cell r="F88">
            <v>1036</v>
          </cell>
          <cell r="G88">
            <v>106761.8</v>
          </cell>
          <cell r="H88">
            <v>632</v>
          </cell>
          <cell r="I88">
            <v>192072.75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45</v>
          </cell>
          <cell r="D128">
            <v>192.58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1681</v>
          </cell>
          <cell r="D132">
            <v>43233.279999999999</v>
          </cell>
          <cell r="F132">
            <v>4</v>
          </cell>
          <cell r="G132">
            <v>175.57</v>
          </cell>
          <cell r="H132">
            <v>6</v>
          </cell>
          <cell r="I132">
            <v>1596.79</v>
          </cell>
        </row>
        <row r="153">
          <cell r="C153">
            <v>2013</v>
          </cell>
          <cell r="D153">
            <v>43700.57</v>
          </cell>
          <cell r="F153">
            <v>0</v>
          </cell>
          <cell r="G153">
            <v>1</v>
          </cell>
          <cell r="H153">
            <v>1</v>
          </cell>
          <cell r="I153">
            <v>50.38</v>
          </cell>
        </row>
        <row r="158">
          <cell r="C158">
            <v>3</v>
          </cell>
          <cell r="D158">
            <v>107.01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18</v>
          </cell>
          <cell r="D161">
            <v>14969.79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9827</v>
          </cell>
          <cell r="D170">
            <v>8047.52</v>
          </cell>
          <cell r="F170">
            <v>27</v>
          </cell>
          <cell r="G170">
            <v>618.66999999999996</v>
          </cell>
          <cell r="H170">
            <v>37</v>
          </cell>
          <cell r="I170">
            <v>1919.12</v>
          </cell>
        </row>
        <row r="175">
          <cell r="C175">
            <v>67185</v>
          </cell>
        </row>
      </sheetData>
      <sheetData sheetId="2">
        <row r="11">
          <cell r="C11">
            <v>17057</v>
          </cell>
          <cell r="D11">
            <v>97885.21</v>
          </cell>
          <cell r="J11">
            <v>862</v>
          </cell>
          <cell r="K11">
            <v>71643.929999999993</v>
          </cell>
        </row>
        <row r="12">
          <cell r="C12">
            <v>2023</v>
          </cell>
          <cell r="D12">
            <v>24053.19</v>
          </cell>
          <cell r="J12">
            <v>83</v>
          </cell>
          <cell r="K12">
            <v>5863.03</v>
          </cell>
        </row>
        <row r="13">
          <cell r="C13">
            <v>116</v>
          </cell>
          <cell r="D13">
            <v>2550.14</v>
          </cell>
          <cell r="J13">
            <v>6</v>
          </cell>
          <cell r="K13">
            <v>322.14999999999998</v>
          </cell>
        </row>
        <row r="14">
          <cell r="C14">
            <v>256</v>
          </cell>
          <cell r="D14">
            <v>224.71</v>
          </cell>
          <cell r="J14">
            <v>1</v>
          </cell>
          <cell r="K14">
            <v>49.54</v>
          </cell>
        </row>
        <row r="15">
          <cell r="C15">
            <v>13</v>
          </cell>
          <cell r="D15">
            <v>43.6</v>
          </cell>
          <cell r="J15">
            <v>0</v>
          </cell>
          <cell r="K15">
            <v>0</v>
          </cell>
        </row>
        <row r="16">
          <cell r="C16">
            <v>1373</v>
          </cell>
          <cell r="D16">
            <v>2454.46</v>
          </cell>
          <cell r="J16">
            <v>8</v>
          </cell>
          <cell r="K16">
            <v>687.41</v>
          </cell>
        </row>
        <row r="17">
          <cell r="C17">
            <v>503</v>
          </cell>
          <cell r="D17">
            <v>152.96</v>
          </cell>
          <cell r="J17">
            <v>2</v>
          </cell>
          <cell r="K17">
            <v>87.53</v>
          </cell>
        </row>
        <row r="18">
          <cell r="C18">
            <v>63</v>
          </cell>
          <cell r="D18">
            <v>230.26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7115</v>
          </cell>
          <cell r="D25">
            <v>35827.980000000003</v>
          </cell>
          <cell r="J25">
            <v>42</v>
          </cell>
          <cell r="K25">
            <v>18972.04</v>
          </cell>
        </row>
        <row r="26">
          <cell r="C26">
            <v>390</v>
          </cell>
          <cell r="D26">
            <v>6685.21</v>
          </cell>
          <cell r="J26">
            <v>23</v>
          </cell>
          <cell r="K26">
            <v>6727.35</v>
          </cell>
        </row>
        <row r="27">
          <cell r="C27">
            <v>69</v>
          </cell>
          <cell r="D27">
            <v>1188.32</v>
          </cell>
          <cell r="J27">
            <v>6</v>
          </cell>
          <cell r="K27">
            <v>1946.48</v>
          </cell>
        </row>
        <row r="28">
          <cell r="C28">
            <v>9</v>
          </cell>
          <cell r="D28">
            <v>49.82</v>
          </cell>
          <cell r="J28">
            <v>0</v>
          </cell>
          <cell r="K28">
            <v>0</v>
          </cell>
        </row>
        <row r="29">
          <cell r="C29">
            <v>2</v>
          </cell>
          <cell r="D29">
            <v>11.07</v>
          </cell>
          <cell r="J29">
            <v>0</v>
          </cell>
          <cell r="K29">
            <v>0</v>
          </cell>
        </row>
        <row r="30">
          <cell r="C30">
            <v>150</v>
          </cell>
          <cell r="D30">
            <v>277.5</v>
          </cell>
          <cell r="J30">
            <v>0</v>
          </cell>
          <cell r="K30">
            <v>0</v>
          </cell>
        </row>
        <row r="31">
          <cell r="C31">
            <v>326</v>
          </cell>
          <cell r="D31">
            <v>1793.66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1410</v>
          </cell>
          <cell r="D34">
            <v>4912.92</v>
          </cell>
          <cell r="J34">
            <v>2</v>
          </cell>
          <cell r="K34">
            <v>312.72000000000003</v>
          </cell>
        </row>
        <row r="35">
          <cell r="C35">
            <v>15</v>
          </cell>
          <cell r="D35">
            <v>158.34</v>
          </cell>
          <cell r="J35">
            <v>0</v>
          </cell>
          <cell r="K35">
            <v>0</v>
          </cell>
        </row>
        <row r="36">
          <cell r="C36">
            <v>2</v>
          </cell>
          <cell r="D36">
            <v>35.72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3</v>
          </cell>
          <cell r="D38">
            <v>7.39</v>
          </cell>
          <cell r="J38">
            <v>0</v>
          </cell>
          <cell r="K38">
            <v>0</v>
          </cell>
        </row>
        <row r="39">
          <cell r="C39">
            <v>185</v>
          </cell>
          <cell r="D39">
            <v>583.66</v>
          </cell>
          <cell r="J39">
            <v>0</v>
          </cell>
          <cell r="K39">
            <v>0</v>
          </cell>
        </row>
        <row r="40">
          <cell r="C40">
            <v>180</v>
          </cell>
          <cell r="D40">
            <v>357.49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29943.22</v>
          </cell>
        </row>
        <row r="11">
          <cell r="P11">
            <v>71046.42</v>
          </cell>
        </row>
        <row r="12">
          <cell r="P12">
            <v>46921.33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16.84</v>
          </cell>
        </row>
        <row r="16">
          <cell r="P16">
            <v>616.37</v>
          </cell>
        </row>
        <row r="17">
          <cell r="P17">
            <v>25778.240000000002</v>
          </cell>
        </row>
        <row r="20">
          <cell r="P20">
            <v>43593.919999999998</v>
          </cell>
        </row>
        <row r="26">
          <cell r="P26">
            <v>141902.56</v>
          </cell>
        </row>
        <row r="33">
          <cell r="P33">
            <v>0</v>
          </cell>
        </row>
        <row r="34">
          <cell r="P34">
            <v>159.84</v>
          </cell>
        </row>
        <row r="35">
          <cell r="P35">
            <v>34098.080000000002</v>
          </cell>
        </row>
        <row r="36">
          <cell r="P36">
            <v>32775.43</v>
          </cell>
        </row>
        <row r="37">
          <cell r="P37">
            <v>84.4</v>
          </cell>
        </row>
        <row r="38">
          <cell r="P38">
            <v>11806.67</v>
          </cell>
        </row>
        <row r="39">
          <cell r="P39">
            <v>0</v>
          </cell>
        </row>
        <row r="40">
          <cell r="P40">
            <v>4828.51</v>
          </cell>
        </row>
      </sheetData>
      <sheetData sheetId="5">
        <row r="10">
          <cell r="G10">
            <v>14338.22</v>
          </cell>
        </row>
        <row r="11">
          <cell r="G11">
            <v>2593.4899999999998</v>
          </cell>
        </row>
        <row r="12">
          <cell r="G12">
            <v>23377.87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234</v>
          </cell>
        </row>
        <row r="17">
          <cell r="G17">
            <v>4560.78</v>
          </cell>
        </row>
        <row r="20">
          <cell r="G20">
            <v>1822.39</v>
          </cell>
        </row>
        <row r="26">
          <cell r="G26">
            <v>193468.36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1600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782</v>
          </cell>
        </row>
        <row r="41">
          <cell r="C41">
            <v>590130.43000000005</v>
          </cell>
          <cell r="D41">
            <v>3232.9</v>
          </cell>
          <cell r="E41">
            <v>247676.61</v>
          </cell>
          <cell r="G41">
            <v>242777.11</v>
          </cell>
          <cell r="I41">
            <v>13431.25</v>
          </cell>
          <cell r="K41">
            <v>25848.51</v>
          </cell>
          <cell r="M41">
            <v>0</v>
          </cell>
        </row>
      </sheetData>
      <sheetData sheetId="6">
        <row r="9">
          <cell r="C9">
            <v>2699</v>
          </cell>
          <cell r="D9">
            <v>26393.45</v>
          </cell>
          <cell r="E9"/>
        </row>
        <row r="18">
          <cell r="C18">
            <v>7187</v>
          </cell>
          <cell r="D18">
            <v>98912.98</v>
          </cell>
          <cell r="E18">
            <v>20365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55</v>
          </cell>
          <cell r="D20">
            <v>15.15</v>
          </cell>
          <cell r="E20">
            <v>6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25063</v>
          </cell>
          <cell r="D22">
            <v>278901.2</v>
          </cell>
          <cell r="E22">
            <v>22085</v>
          </cell>
        </row>
        <row r="29">
          <cell r="C29">
            <v>32181</v>
          </cell>
          <cell r="D29">
            <v>211342.2</v>
          </cell>
          <cell r="E29">
            <v>709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R19" sqref="R19"/>
    </sheetView>
  </sheetViews>
  <sheetFormatPr defaultRowHeight="15" x14ac:dyDescent="0.25"/>
  <cols>
    <col min="1" max="1" width="3.85546875" customWidth="1"/>
    <col min="2" max="2" width="28.28515625" customWidth="1"/>
    <col min="3" max="3" width="11" bestFit="1" customWidth="1"/>
    <col min="4" max="4" width="9.5703125" bestFit="1" customWidth="1"/>
    <col min="8" max="8" width="9.85546875" bestFit="1" customWidth="1"/>
    <col min="10" max="10" width="10.28515625" bestFit="1" customWidth="1"/>
    <col min="14" max="14" width="9.85546875" bestFit="1" customWidth="1"/>
  </cols>
  <sheetData>
    <row r="1" spans="1:14" ht="24.75" customHeight="1" thickBot="1" x14ac:dyDescent="0.3">
      <c r="A1" s="151"/>
      <c r="B1" s="152"/>
      <c r="C1" s="425" t="s">
        <v>97</v>
      </c>
      <c r="D1" s="426"/>
      <c r="E1" s="426"/>
      <c r="F1" s="426"/>
      <c r="G1" s="426"/>
      <c r="H1" s="426"/>
      <c r="I1" s="426"/>
      <c r="J1" s="2"/>
      <c r="K1" s="2"/>
      <c r="L1" s="2"/>
      <c r="M1" s="2"/>
      <c r="N1" s="151" t="s">
        <v>36</v>
      </c>
    </row>
    <row r="2" spans="1:14" x14ac:dyDescent="0.25">
      <c r="A2" s="427" t="s">
        <v>0</v>
      </c>
      <c r="B2" s="429" t="s">
        <v>1</v>
      </c>
      <c r="C2" s="423" t="s">
        <v>2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13" t="s">
        <v>3</v>
      </c>
    </row>
    <row r="3" spans="1:14" ht="15.75" thickBot="1" x14ac:dyDescent="0.3">
      <c r="A3" s="428"/>
      <c r="B3" s="430"/>
      <c r="C3" s="228" t="s">
        <v>69</v>
      </c>
      <c r="D3" s="227" t="s">
        <v>4</v>
      </c>
      <c r="E3" s="293" t="s">
        <v>5</v>
      </c>
      <c r="F3" s="298" t="s">
        <v>6</v>
      </c>
      <c r="G3" s="308" t="s">
        <v>8</v>
      </c>
      <c r="H3" s="312" t="s">
        <v>94</v>
      </c>
      <c r="I3" s="317" t="s">
        <v>9</v>
      </c>
      <c r="J3" s="316" t="s">
        <v>10</v>
      </c>
      <c r="K3" s="317" t="s">
        <v>93</v>
      </c>
      <c r="L3" s="316" t="s">
        <v>11</v>
      </c>
      <c r="M3" s="321" t="s">
        <v>96</v>
      </c>
      <c r="N3" s="414"/>
    </row>
    <row r="4" spans="1:14" x14ac:dyDescent="0.25">
      <c r="A4" s="5">
        <v>1</v>
      </c>
      <c r="B4" s="9" t="s">
        <v>12</v>
      </c>
      <c r="C4" s="142">
        <f>[1]STA_SP1_NO!$D$10</f>
        <v>90943.94</v>
      </c>
      <c r="D4" s="118">
        <f>[2]STA_SP1_NO!$D$10</f>
        <v>97143.16</v>
      </c>
      <c r="E4" s="294">
        <f>[3]STA_SP1_NO!$D$10</f>
        <v>30984</v>
      </c>
      <c r="F4" s="297">
        <f>[4]STA_SP1_NO!$D$10</f>
        <v>42523.78</v>
      </c>
      <c r="G4" s="309">
        <f>[5]STA_SP1_NO!$D$10</f>
        <v>67402</v>
      </c>
      <c r="H4" s="313">
        <f>[6]STA_SP1_NO!$D$10</f>
        <v>14957.19</v>
      </c>
      <c r="I4" s="318">
        <f>[7]STA_SP1_NO!$D$10</f>
        <v>37965</v>
      </c>
      <c r="J4" s="118">
        <f>[8]STA_SP1_NO!$D$10</f>
        <v>26009</v>
      </c>
      <c r="K4" s="318">
        <f>[9]STA_SP1_NO!$D$10</f>
        <v>41996.11</v>
      </c>
      <c r="L4" s="144">
        <f>[10]STA_SP1_NO!$D$10</f>
        <v>72976</v>
      </c>
      <c r="M4" s="148">
        <f>[11]STA_SP1_NO!$D$10</f>
        <v>918.98</v>
      </c>
      <c r="N4" s="229">
        <f t="shared" ref="N4:N22" si="0">SUM(C4:M4)</f>
        <v>523819.16</v>
      </c>
    </row>
    <row r="5" spans="1:14" x14ac:dyDescent="0.25">
      <c r="A5" s="4">
        <v>2</v>
      </c>
      <c r="B5" s="10" t="s">
        <v>13</v>
      </c>
      <c r="C5" s="146">
        <f>[1]STA_SP1_NO!$D$20</f>
        <v>147104.16</v>
      </c>
      <c r="D5" s="118">
        <f>[2]STA_SP1_NO!$D$20</f>
        <v>174756.82</v>
      </c>
      <c r="E5" s="294">
        <f>[3]STA_SP1_NO!$D$20</f>
        <v>16590</v>
      </c>
      <c r="F5" s="296">
        <f>[4]STA_SP1_NO!$D$20</f>
        <v>81118.070000000007</v>
      </c>
      <c r="G5" s="310">
        <f>[5]STA_SP1_NO!$D$20</f>
        <v>151748</v>
      </c>
      <c r="H5" s="313">
        <f>[6]STA_SP1_NO!$D$20</f>
        <v>0</v>
      </c>
      <c r="I5" s="318">
        <f>[7]STA_SP1_NO!$D$20</f>
        <v>75711</v>
      </c>
      <c r="J5" s="118">
        <f>[8]STA_SP1_NO!$D$20</f>
        <v>0</v>
      </c>
      <c r="K5" s="318">
        <f>[9]STA_SP1_NO!$D$20</f>
        <v>100065.38</v>
      </c>
      <c r="L5" s="144">
        <f>[10]STA_SP1_NO!$D$20</f>
        <v>200419</v>
      </c>
      <c r="M5" s="148">
        <f>[11]STA_SP1_NO!$D$20</f>
        <v>0</v>
      </c>
      <c r="N5" s="229">
        <f t="shared" si="0"/>
        <v>947512.43</v>
      </c>
    </row>
    <row r="6" spans="1:14" x14ac:dyDescent="0.25">
      <c r="A6" s="4">
        <v>3</v>
      </c>
      <c r="B6" s="10" t="s">
        <v>14</v>
      </c>
      <c r="C6" s="146">
        <f>[1]STA_SP1_NO!$D$24</f>
        <v>92443.98</v>
      </c>
      <c r="D6" s="118">
        <f>[2]STA_SP1_NO!$D$24</f>
        <v>99029.9</v>
      </c>
      <c r="E6" s="294">
        <f>[3]STA_SP1_NO!$D$24</f>
        <v>47345</v>
      </c>
      <c r="F6" s="296">
        <f>[4]STA_SP1_NO!$D$24</f>
        <v>139365.51</v>
      </c>
      <c r="G6" s="310">
        <f>[5]STA_SP1_NO!$D$24</f>
        <v>83522</v>
      </c>
      <c r="H6" s="313">
        <f>[6]STA_SP1_NO!$D$24</f>
        <v>11046.52</v>
      </c>
      <c r="I6" s="318">
        <f>[7]STA_SP1_NO!$D$24</f>
        <v>61298</v>
      </c>
      <c r="J6" s="118">
        <f>[8]STA_SP1_NO!$D$24</f>
        <v>69272</v>
      </c>
      <c r="K6" s="318">
        <f>[9]STA_SP1_NO!$D$24</f>
        <v>68498.289999999994</v>
      </c>
      <c r="L6" s="144">
        <f>[10]STA_SP1_NO!$D$24</f>
        <v>71080</v>
      </c>
      <c r="M6" s="148">
        <f>[11]STA_SP1_NO!$D$24</f>
        <v>3384.11</v>
      </c>
      <c r="N6" s="229">
        <f t="shared" si="0"/>
        <v>746285.31</v>
      </c>
    </row>
    <row r="7" spans="1:14" x14ac:dyDescent="0.25">
      <c r="A7" s="4">
        <v>4</v>
      </c>
      <c r="B7" s="10" t="s">
        <v>15</v>
      </c>
      <c r="C7" s="146">
        <f>[1]STA_SP1_NO!$D$27</f>
        <v>0</v>
      </c>
      <c r="D7" s="118">
        <f>[2]STA_SP1_NO!$D$27</f>
        <v>0</v>
      </c>
      <c r="E7" s="294">
        <f>[3]STA_SP1_NO!$D$27</f>
        <v>0</v>
      </c>
      <c r="F7" s="296">
        <f>[4]STA_SP1_NO!$D$27</f>
        <v>0</v>
      </c>
      <c r="G7" s="310">
        <f>[5]STA_SP1_NO!$D$27</f>
        <v>0</v>
      </c>
      <c r="H7" s="313">
        <f>[6]STA_SP1_NO!$D$27</f>
        <v>0</v>
      </c>
      <c r="I7" s="318">
        <f>[7]STA_SP1_NO!$D$27</f>
        <v>0</v>
      </c>
      <c r="J7" s="118">
        <f>[8]STA_SP1_NO!$D$27</f>
        <v>0</v>
      </c>
      <c r="K7" s="318">
        <f>[9]STA_SP1_NO!$D$27</f>
        <v>0</v>
      </c>
      <c r="L7" s="144">
        <f>[10]STA_SP1_NO!$D$27</f>
        <v>0</v>
      </c>
      <c r="M7" s="148">
        <f>[11]STA_SP1_NO!$D$27</f>
        <v>0</v>
      </c>
      <c r="N7" s="229">
        <f t="shared" si="0"/>
        <v>0</v>
      </c>
    </row>
    <row r="8" spans="1:14" x14ac:dyDescent="0.25">
      <c r="A8" s="4">
        <v>5</v>
      </c>
      <c r="B8" s="10" t="s">
        <v>16</v>
      </c>
      <c r="C8" s="146">
        <f>[1]STA_SP1_NO!$D$30</f>
        <v>0</v>
      </c>
      <c r="D8" s="118">
        <f>[2]STA_SP1_NO!$D$30</f>
        <v>0</v>
      </c>
      <c r="E8" s="294">
        <f>[3]STA_SP1_NO!$D$30</f>
        <v>0</v>
      </c>
      <c r="F8" s="296">
        <f>[4]STA_SP1_NO!$D$30</f>
        <v>0</v>
      </c>
      <c r="G8" s="310">
        <f>[5]STA_SP1_NO!$D$30</f>
        <v>76054</v>
      </c>
      <c r="H8" s="313">
        <f>[6]STA_SP1_NO!$D$30</f>
        <v>0</v>
      </c>
      <c r="I8" s="318">
        <f>[7]STA_SP1_NO!$D$30</f>
        <v>0</v>
      </c>
      <c r="J8" s="118">
        <f>[8]STA_SP1_NO!$D$30</f>
        <v>562</v>
      </c>
      <c r="K8" s="318">
        <f>[9]STA_SP1_NO!$D$30</f>
        <v>0</v>
      </c>
      <c r="L8" s="144">
        <f>[10]STA_SP1_NO!$D$30</f>
        <v>1018</v>
      </c>
      <c r="M8" s="148">
        <f>[11]STA_SP1_NO!$D$30</f>
        <v>0</v>
      </c>
      <c r="N8" s="229">
        <f t="shared" si="0"/>
        <v>77634</v>
      </c>
    </row>
    <row r="9" spans="1:14" x14ac:dyDescent="0.25">
      <c r="A9" s="4">
        <v>6</v>
      </c>
      <c r="B9" s="10" t="s">
        <v>17</v>
      </c>
      <c r="C9" s="197">
        <f>[1]STA_SP1_NO!$D$33</f>
        <v>124.84</v>
      </c>
      <c r="D9" s="118">
        <f>[2]STA_SP1_NO!$D$33</f>
        <v>41.04</v>
      </c>
      <c r="E9" s="294">
        <f>[3]STA_SP1_NO!$D$33</f>
        <v>0</v>
      </c>
      <c r="F9" s="296">
        <f>[4]STA_SP1_NO!$D$33</f>
        <v>922.5</v>
      </c>
      <c r="G9" s="310">
        <f>[5]STA_SP1_NO!$D$33</f>
        <v>0</v>
      </c>
      <c r="H9" s="313">
        <f>[6]STA_SP1_NO!$D$33</f>
        <v>0</v>
      </c>
      <c r="I9" s="318">
        <f>[7]STA_SP1_NO!$D$33</f>
        <v>43</v>
      </c>
      <c r="J9" s="118">
        <f>[8]STA_SP1_NO!$D$33</f>
        <v>154</v>
      </c>
      <c r="K9" s="318">
        <f>[9]STA_SP1_NO!$D$33</f>
        <v>20.3</v>
      </c>
      <c r="L9" s="144">
        <f>[10]STA_SP1_NO!$D$33</f>
        <v>0</v>
      </c>
      <c r="M9" s="148">
        <f>[11]STA_SP1_NO!$D$33</f>
        <v>0</v>
      </c>
      <c r="N9" s="229">
        <f t="shared" si="0"/>
        <v>1305.68</v>
      </c>
    </row>
    <row r="10" spans="1:14" x14ac:dyDescent="0.25">
      <c r="A10" s="4">
        <v>7</v>
      </c>
      <c r="B10" s="10" t="s">
        <v>18</v>
      </c>
      <c r="C10" s="146">
        <f>[1]STA_SP1_NO!$D$36</f>
        <v>15590.49</v>
      </c>
      <c r="D10" s="118">
        <f>[2]STA_SP1_NO!$D$36</f>
        <v>20305.11</v>
      </c>
      <c r="E10" s="294">
        <f>[3]STA_SP1_NO!$D$36</f>
        <v>8201</v>
      </c>
      <c r="F10" s="296">
        <f>[4]STA_SP1_NO!$D$36</f>
        <v>2108.9499999999998</v>
      </c>
      <c r="G10" s="310">
        <f>[5]STA_SP1_NO!$D$36</f>
        <v>3345</v>
      </c>
      <c r="H10" s="313">
        <f>[6]STA_SP1_NO!$D$36</f>
        <v>0</v>
      </c>
      <c r="I10" s="318">
        <f>[7]STA_SP1_NO!$D$36</f>
        <v>8721</v>
      </c>
      <c r="J10" s="118">
        <f>[8]STA_SP1_NO!$D$36</f>
        <v>1779</v>
      </c>
      <c r="K10" s="318">
        <f>[9]STA_SP1_NO!$D$36</f>
        <v>742.62</v>
      </c>
      <c r="L10" s="144">
        <f>[10]STA_SP1_NO!$D$36</f>
        <v>3015</v>
      </c>
      <c r="M10" s="148">
        <f>[11]STA_SP1_NO!$D$36</f>
        <v>0</v>
      </c>
      <c r="N10" s="229">
        <f t="shared" si="0"/>
        <v>63808.17</v>
      </c>
    </row>
    <row r="11" spans="1:14" x14ac:dyDescent="0.25">
      <c r="A11" s="4">
        <v>8</v>
      </c>
      <c r="B11" s="10" t="s">
        <v>19</v>
      </c>
      <c r="C11" s="146">
        <f>[1]STA_SP1_NO!$D$40</f>
        <v>145285.96</v>
      </c>
      <c r="D11" s="118">
        <f>[2]STA_SP1_NO!$D$40</f>
        <v>66161.919999999998</v>
      </c>
      <c r="E11" s="294">
        <f>[3]STA_SP1_NO!$D$40</f>
        <v>35699</v>
      </c>
      <c r="F11" s="296">
        <f>[4]STA_SP1_NO!$D$40</f>
        <v>57822.04</v>
      </c>
      <c r="G11" s="310">
        <f>[5]STA_SP1_NO!$D$40</f>
        <v>470727</v>
      </c>
      <c r="H11" s="313">
        <f>[6]STA_SP1_NO!$D$40</f>
        <v>2097.88</v>
      </c>
      <c r="I11" s="318">
        <f>[7]STA_SP1_NO!$D$40</f>
        <v>33092</v>
      </c>
      <c r="J11" s="118">
        <f>[8]STA_SP1_NO!$D$40</f>
        <v>35094</v>
      </c>
      <c r="K11" s="318">
        <f>[9]STA_SP1_NO!$D$40</f>
        <v>44445.23</v>
      </c>
      <c r="L11" s="144">
        <f>[10]STA_SP1_NO!$D$40</f>
        <v>40790</v>
      </c>
      <c r="M11" s="148">
        <f>[11]STA_SP1_NO!$D$40</f>
        <v>94.78</v>
      </c>
      <c r="N11" s="229">
        <f t="shared" si="0"/>
        <v>931309.80999999994</v>
      </c>
    </row>
    <row r="12" spans="1:14" x14ac:dyDescent="0.25">
      <c r="A12" s="4">
        <v>9</v>
      </c>
      <c r="B12" s="10" t="s">
        <v>20</v>
      </c>
      <c r="C12" s="146">
        <f>[1]STA_SP1_NO!$D$56</f>
        <v>242510.23</v>
      </c>
      <c r="D12" s="118">
        <f>[2]STA_SP1_NO!$D$56</f>
        <v>141540.82999999999</v>
      </c>
      <c r="E12" s="294">
        <f>[3]STA_SP1_NO!$D$56</f>
        <v>42441</v>
      </c>
      <c r="F12" s="296">
        <f>[4]STA_SP1_NO!$D$56</f>
        <v>110688.29</v>
      </c>
      <c r="G12" s="310">
        <f>[5]STA_SP1_NO!$D$56</f>
        <v>274675</v>
      </c>
      <c r="H12" s="313">
        <f>[6]STA_SP1_NO!$D$56</f>
        <v>790.29</v>
      </c>
      <c r="I12" s="318">
        <f>[7]STA_SP1_NO!$D$56</f>
        <v>143974</v>
      </c>
      <c r="J12" s="118">
        <f>[8]STA_SP1_NO!$D$56</f>
        <v>18675.95</v>
      </c>
      <c r="K12" s="318">
        <f>[9]STA_SP1_NO!$D$56</f>
        <v>65065.56</v>
      </c>
      <c r="L12" s="144">
        <f>[10]STA_SP1_NO!$D$56</f>
        <v>54816</v>
      </c>
      <c r="M12" s="148">
        <f>[11]STA_SP1_NO!$D$56</f>
        <v>85.26</v>
      </c>
      <c r="N12" s="229">
        <f t="shared" si="0"/>
        <v>1095262.4099999999</v>
      </c>
    </row>
    <row r="13" spans="1:14" x14ac:dyDescent="0.25">
      <c r="A13" s="4">
        <v>10</v>
      </c>
      <c r="B13" s="10" t="s">
        <v>21</v>
      </c>
      <c r="C13" s="146">
        <f>[1]STA_SP1_NO!$D$88</f>
        <v>422766.84</v>
      </c>
      <c r="D13" s="118">
        <f>[2]STA_SP1_NO!$D$88</f>
        <v>232888.94</v>
      </c>
      <c r="E13" s="294">
        <f>[3]STA_SP1_NO!$D$88</f>
        <v>193322</v>
      </c>
      <c r="F13" s="296">
        <f>[4]STA_SP1_NO!$D$88</f>
        <v>282799.33</v>
      </c>
      <c r="G13" s="310">
        <f>[5]STA_SP1_NO!$D$88</f>
        <v>237219</v>
      </c>
      <c r="H13" s="313">
        <f>[6]STA_SP1_NO!$D$88</f>
        <v>298904.33</v>
      </c>
      <c r="I13" s="318">
        <f>[7]STA_SP1_NO!$D$88</f>
        <v>517623</v>
      </c>
      <c r="J13" s="118">
        <f>[8]STA_SP1_NO!$D$88</f>
        <v>273698</v>
      </c>
      <c r="K13" s="318">
        <f>[9]STA_SP1_NO!$D$88</f>
        <v>184480.75</v>
      </c>
      <c r="L13" s="144">
        <f>[10]STA_SP1_NO!$D$88</f>
        <v>324555</v>
      </c>
      <c r="M13" s="148">
        <f>[11]STA_SP1_NO!$D$88</f>
        <v>29129.88</v>
      </c>
      <c r="N13" s="229">
        <f t="shared" si="0"/>
        <v>2997387.0700000003</v>
      </c>
    </row>
    <row r="14" spans="1:14" x14ac:dyDescent="0.25">
      <c r="A14" s="4">
        <v>11</v>
      </c>
      <c r="B14" s="10" t="s">
        <v>22</v>
      </c>
      <c r="C14" s="146">
        <f>[1]STA_SP1_NO!$D$124</f>
        <v>54.19</v>
      </c>
      <c r="D14" s="118">
        <f>[2]STA_SP1_NO!$D$124</f>
        <v>353.74</v>
      </c>
      <c r="E14" s="294">
        <f>[3]STA_SP1_NO!$D$124</f>
        <v>0</v>
      </c>
      <c r="F14" s="296">
        <f>[4]STA_SP1_NO!$D$124</f>
        <v>0</v>
      </c>
      <c r="G14" s="310">
        <f>[5]STA_SP1_NO!$D$124</f>
        <v>8186</v>
      </c>
      <c r="H14" s="313">
        <f>[6]STA_SP1_NO!$D$124</f>
        <v>0</v>
      </c>
      <c r="I14" s="318">
        <f>[7]STA_SP1_NO!$D$124</f>
        <v>0</v>
      </c>
      <c r="J14" s="118">
        <f>[8]STA_SP1_NO!$D$124</f>
        <v>1158</v>
      </c>
      <c r="K14" s="318">
        <f>[9]STA_SP1_NO!$D$124</f>
        <v>0</v>
      </c>
      <c r="L14" s="144">
        <f>[10]STA_SP1_NO!$D$124</f>
        <v>567</v>
      </c>
      <c r="M14" s="148">
        <f>[11]STA_SP1_NO!$D$124</f>
        <v>0</v>
      </c>
      <c r="N14" s="229">
        <f t="shared" si="0"/>
        <v>10318.93</v>
      </c>
    </row>
    <row r="15" spans="1:14" x14ac:dyDescent="0.25">
      <c r="A15" s="4">
        <v>12</v>
      </c>
      <c r="B15" s="10" t="s">
        <v>23</v>
      </c>
      <c r="C15" s="197">
        <f>[1]STA_SP1_NO!$D$128</f>
        <v>400.15</v>
      </c>
      <c r="D15" s="118">
        <f>[2]STA_SP1_NO!$D$128</f>
        <v>141.25</v>
      </c>
      <c r="E15" s="294">
        <f>[3]STA_SP1_NO!$D$128</f>
        <v>29</v>
      </c>
      <c r="F15" s="296">
        <f>[4]STA_SP1_NO!$D$128</f>
        <v>587.6</v>
      </c>
      <c r="G15" s="310">
        <f>[5]STA_SP1_NO!$D$128</f>
        <v>413</v>
      </c>
      <c r="H15" s="313">
        <f>[6]STA_SP1_NO!$D$128</f>
        <v>0</v>
      </c>
      <c r="I15" s="318">
        <f>[7]STA_SP1_NO!$D$128</f>
        <v>220</v>
      </c>
      <c r="J15" s="118">
        <f>[8]STA_SP1_NO!$D$128</f>
        <v>259</v>
      </c>
      <c r="K15" s="318">
        <f>[9]STA_SP1_NO!$D$128</f>
        <v>192.58</v>
      </c>
      <c r="L15" s="144">
        <f>[10]STA_SP1_NO!$D$128</f>
        <v>69</v>
      </c>
      <c r="M15" s="148">
        <f>[11]STA_SP1_NO!$D$128</f>
        <v>0</v>
      </c>
      <c r="N15" s="229">
        <f t="shared" si="0"/>
        <v>2311.58</v>
      </c>
    </row>
    <row r="16" spans="1:14" x14ac:dyDescent="0.25">
      <c r="A16" s="4">
        <v>13</v>
      </c>
      <c r="B16" s="10" t="s">
        <v>24</v>
      </c>
      <c r="C16" s="146">
        <f>[1]STA_SP1_NO!$D$132</f>
        <v>23325.55</v>
      </c>
      <c r="D16" s="118">
        <f>[2]STA_SP1_NO!$D$132</f>
        <v>35238.68</v>
      </c>
      <c r="E16" s="294">
        <f>[3]STA_SP1_NO!$D$132</f>
        <v>4150</v>
      </c>
      <c r="F16" s="296">
        <f>[4]STA_SP1_NO!$D$132</f>
        <v>13455.66</v>
      </c>
      <c r="G16" s="310">
        <f>[5]STA_SP1_NO!$D$132</f>
        <v>125667</v>
      </c>
      <c r="H16" s="313">
        <f>[6]STA_SP1_NO!$D$132</f>
        <v>501.64</v>
      </c>
      <c r="I16" s="318">
        <f>[7]STA_SP1_NO!$D$132</f>
        <v>34410</v>
      </c>
      <c r="J16" s="118">
        <f>[8]STA_SP1_NO!$D$132</f>
        <v>12321</v>
      </c>
      <c r="K16" s="318">
        <f>[9]STA_SP1_NO!$D$132</f>
        <v>43233.279999999999</v>
      </c>
      <c r="L16" s="144">
        <f>[10]STA_SP1_NO!$D$132</f>
        <v>11554</v>
      </c>
      <c r="M16" s="148">
        <f>[11]STA_SP1_NO!$D$132</f>
        <v>48.94</v>
      </c>
      <c r="N16" s="229">
        <f t="shared" si="0"/>
        <v>303905.75000000006</v>
      </c>
    </row>
    <row r="17" spans="1:15" x14ac:dyDescent="0.25">
      <c r="A17" s="4">
        <v>14</v>
      </c>
      <c r="B17" s="10" t="s">
        <v>25</v>
      </c>
      <c r="C17" s="146">
        <f>[1]STA_SP1_NO!$D$153</f>
        <v>8236.26</v>
      </c>
      <c r="D17" s="118">
        <f>[2]STA_SP1_NO!$D$153</f>
        <v>39670.54</v>
      </c>
      <c r="E17" s="294">
        <f>[3]STA_SP1_NO!$D$153</f>
        <v>1023</v>
      </c>
      <c r="F17" s="296">
        <f>[4]STA_SP1_NO!$D$153</f>
        <v>4500.75</v>
      </c>
      <c r="G17" s="310">
        <f>[5]STA_SP1_NO!$D$153</f>
        <v>0</v>
      </c>
      <c r="H17" s="313">
        <f>[6]STA_SP1_NO!$D$153</f>
        <v>0</v>
      </c>
      <c r="I17" s="318">
        <f>[7]STA_SP1_NO!$D$153</f>
        <v>0</v>
      </c>
      <c r="J17" s="118">
        <f>[8]STA_SP1_NO!$D$153</f>
        <v>0</v>
      </c>
      <c r="K17" s="318">
        <f>[9]STA_SP1_NO!$D$153</f>
        <v>43700.57</v>
      </c>
      <c r="L17" s="144">
        <f>[10]STA_SP1_NO!$D$153</f>
        <v>2794</v>
      </c>
      <c r="M17" s="148">
        <f>[11]STA_SP1_NO!$D$153</f>
        <v>0</v>
      </c>
      <c r="N17" s="229">
        <f t="shared" si="0"/>
        <v>99925.119999999995</v>
      </c>
    </row>
    <row r="18" spans="1:15" x14ac:dyDescent="0.25">
      <c r="A18" s="4">
        <v>15</v>
      </c>
      <c r="B18" s="10" t="s">
        <v>26</v>
      </c>
      <c r="C18" s="197">
        <f>[1]STA_SP1_NO!$D$158</f>
        <v>0</v>
      </c>
      <c r="D18" s="118">
        <f>[2]STA_SP1_NO!$D$158</f>
        <v>0</v>
      </c>
      <c r="E18" s="294">
        <f>[3]STA_SP1_NO!$D$158</f>
        <v>375</v>
      </c>
      <c r="F18" s="296">
        <f>[4]STA_SP1_NO!$D$158</f>
        <v>0</v>
      </c>
      <c r="G18" s="310">
        <f>[5]STA_SP1_NO!$D$158</f>
        <v>5</v>
      </c>
      <c r="H18" s="313">
        <f>[6]STA_SP1_NO!$D$158</f>
        <v>0</v>
      </c>
      <c r="I18" s="318">
        <f>[7]STA_SP1_NO!$D$158</f>
        <v>0</v>
      </c>
      <c r="J18" s="118">
        <f>[8]STA_SP1_NO!$D$158</f>
        <v>0</v>
      </c>
      <c r="K18" s="318">
        <f>[9]STA_SP1_NO!$D$158</f>
        <v>107.01</v>
      </c>
      <c r="L18" s="144">
        <f>[10]STA_SP1_NO!$D$158</f>
        <v>0</v>
      </c>
      <c r="M18" s="148">
        <f>[11]STA_SP1_NO!$D$158</f>
        <v>0</v>
      </c>
      <c r="N18" s="229">
        <f t="shared" si="0"/>
        <v>487.01</v>
      </c>
    </row>
    <row r="19" spans="1:15" x14ac:dyDescent="0.25">
      <c r="A19" s="4">
        <v>16</v>
      </c>
      <c r="B19" s="10" t="s">
        <v>27</v>
      </c>
      <c r="C19" s="146">
        <f>[1]STA_SP1_NO!$D$161</f>
        <v>2379.8000000000002</v>
      </c>
      <c r="D19" s="118">
        <f>[2]STA_SP1_NO!$D$161</f>
        <v>23200.75</v>
      </c>
      <c r="E19" s="294">
        <f>[3]STA_SP1_NO!$D$161</f>
        <v>45</v>
      </c>
      <c r="F19" s="296">
        <f>[4]STA_SP1_NO!$D$161</f>
        <v>7273.23</v>
      </c>
      <c r="G19" s="310">
        <f>[5]STA_SP1_NO!$D$161</f>
        <v>612</v>
      </c>
      <c r="H19" s="313">
        <f>[6]STA_SP1_NO!$D$161</f>
        <v>0</v>
      </c>
      <c r="I19" s="318">
        <f>[7]STA_SP1_NO!$D$161</f>
        <v>7542</v>
      </c>
      <c r="J19" s="118">
        <f>[8]STA_SP1_NO!$D$161</f>
        <v>0</v>
      </c>
      <c r="K19" s="318">
        <f>[9]STA_SP1_NO!$D$161</f>
        <v>14969.79</v>
      </c>
      <c r="L19" s="144">
        <f>[10]STA_SP1_NO!$D$161</f>
        <v>473</v>
      </c>
      <c r="M19" s="148">
        <f>[11]STA_SP1_NO!$D$161</f>
        <v>0</v>
      </c>
      <c r="N19" s="229">
        <f t="shared" si="0"/>
        <v>56495.57</v>
      </c>
    </row>
    <row r="20" spans="1:15" x14ac:dyDescent="0.25">
      <c r="A20" s="4">
        <v>17</v>
      </c>
      <c r="B20" s="10" t="s">
        <v>28</v>
      </c>
      <c r="C20" s="146">
        <f>[1]STA_SP1_NO!$D$167</f>
        <v>0</v>
      </c>
      <c r="D20" s="118">
        <f>[2]STA_SP1_NO!$D$167</f>
        <v>0</v>
      </c>
      <c r="E20" s="294">
        <f>[3]STA_SP1_NO!$D$167</f>
        <v>0</v>
      </c>
      <c r="F20" s="296">
        <f>[4]STA_SP1_NO!$D$167</f>
        <v>0</v>
      </c>
      <c r="G20" s="310">
        <f>[5]STA_SP1_NO!$D$167</f>
        <v>0</v>
      </c>
      <c r="H20" s="313">
        <f>[6]STA_SP1_NO!$D$167</f>
        <v>0</v>
      </c>
      <c r="I20" s="318">
        <f>[7]STA_SP1_NO!$D$167</f>
        <v>0</v>
      </c>
      <c r="J20" s="118">
        <f>[8]STA_SP1_NO!$D$167</f>
        <v>0</v>
      </c>
      <c r="K20" s="318">
        <f>[9]STA_SP1_NO!$D$167</f>
        <v>0</v>
      </c>
      <c r="L20" s="144">
        <f>[10]STA_SP1_NO!$D$167</f>
        <v>0</v>
      </c>
      <c r="M20" s="148">
        <f>[11]STA_SP1_NO!$D$167</f>
        <v>0</v>
      </c>
      <c r="N20" s="229">
        <f t="shared" si="0"/>
        <v>0</v>
      </c>
    </row>
    <row r="21" spans="1:15" ht="15.75" thickBot="1" x14ac:dyDescent="0.3">
      <c r="A21" s="6">
        <v>18</v>
      </c>
      <c r="B21" s="11" t="s">
        <v>29</v>
      </c>
      <c r="C21" s="147">
        <f>[1]STA_SP1_NO!$D$170</f>
        <v>10694.82</v>
      </c>
      <c r="D21" s="118">
        <f>[2]STA_SP1_NO!$D$170</f>
        <v>30527.05</v>
      </c>
      <c r="E21" s="294">
        <f>[3]STA_SP1_NO!$D$170</f>
        <v>4627</v>
      </c>
      <c r="F21" s="299">
        <f>[4]STA_SP1_NO!$D$170</f>
        <v>25244.83</v>
      </c>
      <c r="G21" s="311">
        <f>[5]STA_SP1_NO!$D$170</f>
        <v>23822</v>
      </c>
      <c r="H21" s="314">
        <f>[6]STA_SP1_NO!$D$170</f>
        <v>2062.19</v>
      </c>
      <c r="I21" s="319">
        <f>[7]STA_SP1_NO!$D$170</f>
        <v>11477</v>
      </c>
      <c r="J21" s="315">
        <f>[8]STA_SP1_NO!$D$170</f>
        <v>11334</v>
      </c>
      <c r="K21" s="318">
        <f>[9]STA_SP1_NO!$D$170</f>
        <v>8047.52</v>
      </c>
      <c r="L21" s="301">
        <f>[10]STA_SP1_NO!$D$170</f>
        <v>13568</v>
      </c>
      <c r="M21" s="322">
        <f>[11]STA_SP1_NO!$D$170</f>
        <v>169.58</v>
      </c>
      <c r="N21" s="229">
        <f t="shared" si="0"/>
        <v>141573.99</v>
      </c>
    </row>
    <row r="22" spans="1:15" ht="15.75" thickBot="1" x14ac:dyDescent="0.3">
      <c r="A22" s="7"/>
      <c r="B22" s="19" t="s">
        <v>30</v>
      </c>
      <c r="C22" s="153">
        <f t="shared" ref="C22" si="1">SUM(C4:C21)</f>
        <v>1201861.21</v>
      </c>
      <c r="D22" s="154">
        <f>SUM(D4:D21)</f>
        <v>960999.7300000001</v>
      </c>
      <c r="E22" s="153">
        <f>SUM(E4:E21)</f>
        <v>384831</v>
      </c>
      <c r="F22" s="295">
        <f>SUM(F4:F21)</f>
        <v>768410.53999999992</v>
      </c>
      <c r="G22" s="300">
        <f>SUM(G4:G21)</f>
        <v>1523397</v>
      </c>
      <c r="H22" s="302">
        <f>SUM(H4:H21)</f>
        <v>330360.04000000004</v>
      </c>
      <c r="I22" s="320">
        <f t="shared" ref="I22:M22" si="2">SUM(I4:I21)</f>
        <v>932076</v>
      </c>
      <c r="J22" s="303">
        <f t="shared" si="2"/>
        <v>450315.95</v>
      </c>
      <c r="K22" s="320">
        <f t="shared" si="2"/>
        <v>615564.99</v>
      </c>
      <c r="L22" s="303">
        <f t="shared" si="2"/>
        <v>797694</v>
      </c>
      <c r="M22" s="323">
        <f t="shared" si="2"/>
        <v>33831.530000000006</v>
      </c>
      <c r="N22" s="324">
        <f t="shared" si="0"/>
        <v>7999341.9900000012</v>
      </c>
      <c r="O22" s="304"/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  <c r="O23" s="305"/>
    </row>
    <row r="24" spans="1:15" ht="15.75" thickBot="1" x14ac:dyDescent="0.3">
      <c r="A24" s="419" t="s">
        <v>31</v>
      </c>
      <c r="B24" s="420"/>
      <c r="C24" s="23">
        <f>C22/N22</f>
        <v>0.15024500908980387</v>
      </c>
      <c r="D24" s="23">
        <f>D22/N22</f>
        <v>0.12013484749137472</v>
      </c>
      <c r="E24" s="23">
        <f>E22/N22</f>
        <v>4.8107831929310972E-2</v>
      </c>
      <c r="F24" s="82">
        <f>F22/N22</f>
        <v>9.6059218490794865E-2</v>
      </c>
      <c r="G24" s="23">
        <f>G22/N22</f>
        <v>0.19044028895181661</v>
      </c>
      <c r="H24" s="82">
        <f>H22/N22</f>
        <v>4.1298401845174769E-2</v>
      </c>
      <c r="I24" s="23">
        <f>I22/N22</f>
        <v>0.1165190838402947</v>
      </c>
      <c r="J24" s="82">
        <f>J22/N22</f>
        <v>5.6294124012067639E-2</v>
      </c>
      <c r="K24" s="23">
        <f>K22/N22</f>
        <v>7.6951953144336047E-2</v>
      </c>
      <c r="L24" s="82">
        <f>L22/N22</f>
        <v>9.9719952090709385E-2</v>
      </c>
      <c r="M24" s="23">
        <f>M22/N22</f>
        <v>4.2292891143162637E-3</v>
      </c>
      <c r="N24" s="82">
        <f>N22/N22</f>
        <v>1</v>
      </c>
      <c r="O24" s="306"/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427" t="s">
        <v>0</v>
      </c>
      <c r="B26" s="429" t="s">
        <v>1</v>
      </c>
      <c r="C26" s="434" t="s">
        <v>90</v>
      </c>
      <c r="D26" s="435"/>
      <c r="E26" s="435"/>
      <c r="F26" s="435"/>
      <c r="G26" s="435"/>
      <c r="H26" s="436"/>
      <c r="I26" s="432" t="s">
        <v>3</v>
      </c>
      <c r="J26" s="1"/>
      <c r="K26" s="1"/>
      <c r="L26" s="1"/>
      <c r="M26" s="1"/>
      <c r="N26" s="1"/>
    </row>
    <row r="27" spans="1:15" ht="15.75" thickBot="1" x14ac:dyDescent="0.3">
      <c r="A27" s="428"/>
      <c r="B27" s="431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33"/>
      <c r="J27" s="81"/>
      <c r="K27" s="421" t="s">
        <v>33</v>
      </c>
      <c r="L27" s="422"/>
      <c r="M27" s="232">
        <f>N22</f>
        <v>7999341.9900000012</v>
      </c>
      <c r="N27" s="233">
        <f>M27/M29</f>
        <v>0.83629965412045626</v>
      </c>
    </row>
    <row r="28" spans="1:15" ht="15.75" thickBot="1" x14ac:dyDescent="0.3">
      <c r="A28" s="22">
        <v>19</v>
      </c>
      <c r="B28" s="128" t="s">
        <v>34</v>
      </c>
      <c r="C28" s="187">
        <f>[12]STA_SP1_ZO!$J$51</f>
        <v>455807</v>
      </c>
      <c r="D28" s="209">
        <f>[13]STA_SP1_ZO!$J$51</f>
        <v>249757</v>
      </c>
      <c r="E28" s="187">
        <f>[14]STA_SP1_ZO!$J$51</f>
        <v>315849</v>
      </c>
      <c r="F28" s="186">
        <f>[15]STA_SP1_ZO!$J$51</f>
        <v>149222</v>
      </c>
      <c r="G28" s="187">
        <f>[16]STA_SP1_ZO!$J$51</f>
        <v>372615.26</v>
      </c>
      <c r="H28" s="188">
        <f>[17]STA_SP1_ZO!$J$51</f>
        <v>22570.13</v>
      </c>
      <c r="I28" s="230">
        <f>SUM(C28:H28)</f>
        <v>1565820.39</v>
      </c>
      <c r="J28" s="81"/>
      <c r="K28" s="415" t="s">
        <v>34</v>
      </c>
      <c r="L28" s="416"/>
      <c r="M28" s="234">
        <f>I28</f>
        <v>1565820.39</v>
      </c>
      <c r="N28" s="235">
        <f>M28/M29</f>
        <v>0.16370034587954374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7" t="s">
        <v>3</v>
      </c>
      <c r="L29" s="418"/>
      <c r="M29" s="236">
        <f>M27+M28</f>
        <v>9565162.3800000008</v>
      </c>
      <c r="N29" s="237">
        <f>M29/M29</f>
        <v>1</v>
      </c>
    </row>
    <row r="30" spans="1:15" ht="15.75" thickBot="1" x14ac:dyDescent="0.3">
      <c r="A30" s="419" t="s">
        <v>35</v>
      </c>
      <c r="B30" s="420"/>
      <c r="C30" s="23">
        <f>C28/I28</f>
        <v>0.29109788256110269</v>
      </c>
      <c r="D30" s="82">
        <f>D28/I28</f>
        <v>0.15950552285246458</v>
      </c>
      <c r="E30" s="23">
        <f>E28/I28</f>
        <v>0.2017147062441817</v>
      </c>
      <c r="F30" s="82">
        <f>F28/I28</f>
        <v>9.5299563700278561E-2</v>
      </c>
      <c r="G30" s="23">
        <f>G28/I28</f>
        <v>0.2379680724428426</v>
      </c>
      <c r="H30" s="82">
        <f>H28/I28</f>
        <v>1.4414252199129941E-2</v>
      </c>
      <c r="I30" s="231">
        <f>I28/I28</f>
        <v>1</v>
      </c>
      <c r="J30" s="1"/>
      <c r="K30" s="1"/>
      <c r="L30" s="1"/>
      <c r="M30" s="1"/>
      <c r="N30" s="1"/>
    </row>
    <row r="37" spans="8:8" x14ac:dyDescent="0.25">
      <c r="H37" s="198"/>
    </row>
  </sheetData>
  <mergeCells count="14">
    <mergeCell ref="C1:I1"/>
    <mergeCell ref="A2:A3"/>
    <mergeCell ref="B2:B3"/>
    <mergeCell ref="A26:A27"/>
    <mergeCell ref="B26:B27"/>
    <mergeCell ref="A24:B24"/>
    <mergeCell ref="I26:I27"/>
    <mergeCell ref="C26:H26"/>
    <mergeCell ref="N2:N3"/>
    <mergeCell ref="K28:L28"/>
    <mergeCell ref="K29:L29"/>
    <mergeCell ref="A30:B30"/>
    <mergeCell ref="K27:L27"/>
    <mergeCell ref="C2:M2"/>
  </mergeCells>
  <pageMargins left="0.25" right="0.25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R27" sqref="R27"/>
    </sheetView>
  </sheetViews>
  <sheetFormatPr defaultRowHeight="15" x14ac:dyDescent="0.25"/>
  <cols>
    <col min="1" max="1" width="4.5703125" customWidth="1"/>
    <col min="2" max="2" width="21.7109375" customWidth="1"/>
  </cols>
  <sheetData>
    <row r="1" spans="1:15" ht="24.75" customHeight="1" thickBot="1" x14ac:dyDescent="0.3">
      <c r="A1" s="26"/>
      <c r="B1" s="26"/>
      <c r="C1" s="460" t="s">
        <v>106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52"/>
    </row>
    <row r="2" spans="1:15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490" t="s">
        <v>3</v>
      </c>
    </row>
    <row r="3" spans="1:15" x14ac:dyDescent="0.25">
      <c r="A3" s="503"/>
      <c r="B3" s="504"/>
      <c r="C3" s="510" t="s">
        <v>69</v>
      </c>
      <c r="D3" s="504" t="s">
        <v>4</v>
      </c>
      <c r="E3" s="514" t="s">
        <v>5</v>
      </c>
      <c r="F3" s="465" t="s">
        <v>6</v>
      </c>
      <c r="G3" s="499" t="s">
        <v>8</v>
      </c>
      <c r="H3" s="465" t="s">
        <v>94</v>
      </c>
      <c r="I3" s="497" t="s">
        <v>9</v>
      </c>
      <c r="J3" s="507" t="s">
        <v>10</v>
      </c>
      <c r="K3" s="497" t="s">
        <v>93</v>
      </c>
      <c r="L3" s="465" t="s">
        <v>11</v>
      </c>
      <c r="M3" s="501" t="s">
        <v>96</v>
      </c>
      <c r="N3" s="491"/>
    </row>
    <row r="4" spans="1:15" ht="15.75" thickBot="1" x14ac:dyDescent="0.3">
      <c r="A4" s="498"/>
      <c r="B4" s="505"/>
      <c r="C4" s="512"/>
      <c r="D4" s="498"/>
      <c r="E4" s="498"/>
      <c r="F4" s="498"/>
      <c r="G4" s="500"/>
      <c r="H4" s="466"/>
      <c r="I4" s="506"/>
      <c r="J4" s="508"/>
      <c r="K4" s="506"/>
      <c r="L4" s="466"/>
      <c r="M4" s="502"/>
      <c r="N4" s="492"/>
    </row>
    <row r="5" spans="1:15" x14ac:dyDescent="0.25">
      <c r="A5" s="30">
        <v>1</v>
      </c>
      <c r="B5" s="31" t="s">
        <v>39</v>
      </c>
      <c r="C5" s="62">
        <f>[1]STA_SP2_NO!$C$25</f>
        <v>16065</v>
      </c>
      <c r="D5" s="118">
        <f>[2]STA_SP2_NO!$C$25</f>
        <v>9904</v>
      </c>
      <c r="E5" s="61">
        <f>[3]STA_SP2_NO!$C$25</f>
        <v>5771</v>
      </c>
      <c r="F5" s="118">
        <f>[4]STA_SP2_NO!$C$25</f>
        <v>11968</v>
      </c>
      <c r="G5" s="143">
        <f>[5]STA_SP2_NO!$C$25</f>
        <v>11179</v>
      </c>
      <c r="H5" s="118">
        <f>[6]STA_SP2_NO!$C$25</f>
        <v>13012</v>
      </c>
      <c r="I5" s="143">
        <f>[7]STA_SP2_NO!$C$25</f>
        <v>22487</v>
      </c>
      <c r="J5" s="54">
        <f>[8]STA_SP2_NO!$C$25</f>
        <v>10896</v>
      </c>
      <c r="K5" s="143">
        <f>[9]STA_SP2_NO!$C$25</f>
        <v>7115</v>
      </c>
      <c r="L5" s="387">
        <f>[10]STA_SP2_NO!$C$25</f>
        <v>13871</v>
      </c>
      <c r="M5" s="332">
        <f>[11]STA_SP2_NO!$C$25</f>
        <v>982</v>
      </c>
      <c r="N5" s="249">
        <f t="shared" ref="N5:N12" si="0">SUM(C5:M5)</f>
        <v>123250</v>
      </c>
    </row>
    <row r="6" spans="1:15" x14ac:dyDescent="0.25">
      <c r="A6" s="32">
        <v>2</v>
      </c>
      <c r="B6" s="33" t="s">
        <v>40</v>
      </c>
      <c r="C6" s="62">
        <f>[1]STA_SP2_NO!$C$26</f>
        <v>719</v>
      </c>
      <c r="D6" s="118">
        <f>[2]STA_SP2_NO!$C$26</f>
        <v>666</v>
      </c>
      <c r="E6" s="61">
        <f>[3]STA_SP2_NO!$C$26</f>
        <v>277</v>
      </c>
      <c r="F6" s="118">
        <f>[4]STA_SP2_NO!$C$26</f>
        <v>731</v>
      </c>
      <c r="G6" s="143">
        <f>[5]STA_SP2_NO!$C$26</f>
        <v>332</v>
      </c>
      <c r="H6" s="118">
        <f>[6]STA_SP2_NO!$C$26</f>
        <v>390</v>
      </c>
      <c r="I6" s="143">
        <f>[7]STA_SP2_NO!$C$26</f>
        <v>698</v>
      </c>
      <c r="J6" s="54">
        <f>[8]STA_SP2_NO!$C$26</f>
        <v>541</v>
      </c>
      <c r="K6" s="143">
        <f>[9]STA_SP2_NO!$C$26</f>
        <v>390</v>
      </c>
      <c r="L6" s="387">
        <f>[10]STA_SP2_NO!$C$26</f>
        <v>473</v>
      </c>
      <c r="M6" s="332">
        <f>[11]STA_SP2_NO!$C$26</f>
        <v>50</v>
      </c>
      <c r="N6" s="249">
        <f t="shared" si="0"/>
        <v>5267</v>
      </c>
    </row>
    <row r="7" spans="1:15" x14ac:dyDescent="0.25">
      <c r="A7" s="32">
        <v>3</v>
      </c>
      <c r="B7" s="33" t="s">
        <v>41</v>
      </c>
      <c r="C7" s="62">
        <f>[1]STA_SP2_NO!$C$27</f>
        <v>105</v>
      </c>
      <c r="D7" s="118">
        <f>[2]STA_SP2_NO!$C$27</f>
        <v>58</v>
      </c>
      <c r="E7" s="61">
        <f>[3]STA_SP2_NO!$C$27</f>
        <v>27</v>
      </c>
      <c r="F7" s="118">
        <f>[4]STA_SP2_NO!$C$27</f>
        <v>115</v>
      </c>
      <c r="G7" s="143">
        <f>[5]STA_SP2_NO!$C$27</f>
        <v>353</v>
      </c>
      <c r="H7" s="118">
        <f>[6]STA_SP2_NO!$C$27</f>
        <v>49</v>
      </c>
      <c r="I7" s="143">
        <f>[7]STA_SP2_NO!$C$27</f>
        <v>92</v>
      </c>
      <c r="J7" s="54">
        <f>[8]STA_SP2_NO!$C$27</f>
        <v>65</v>
      </c>
      <c r="K7" s="143">
        <f>[9]STA_SP2_NO!$C$27</f>
        <v>69</v>
      </c>
      <c r="L7" s="387">
        <f>[10]STA_SP2_NO!$C$27</f>
        <v>31</v>
      </c>
      <c r="M7" s="332">
        <f>[11]STA_SP2_NO!$C$27</f>
        <v>1</v>
      </c>
      <c r="N7" s="249">
        <f t="shared" si="0"/>
        <v>965</v>
      </c>
    </row>
    <row r="8" spans="1:15" x14ac:dyDescent="0.25">
      <c r="A8" s="32">
        <v>4</v>
      </c>
      <c r="B8" s="33" t="s">
        <v>42</v>
      </c>
      <c r="C8" s="62">
        <f>[1]STA_SP2_NO!$C$28</f>
        <v>4</v>
      </c>
      <c r="D8" s="118">
        <f>[2]STA_SP2_NO!$C$28</f>
        <v>1</v>
      </c>
      <c r="E8" s="61">
        <f>[3]STA_SP2_NO!$C$28</f>
        <v>1</v>
      </c>
      <c r="F8" s="118">
        <f>[4]STA_SP2_NO!$C$28</f>
        <v>4</v>
      </c>
      <c r="G8" s="143">
        <f>[5]STA_SP2_NO!$C$28</f>
        <v>0</v>
      </c>
      <c r="H8" s="118">
        <f>[6]STA_SP2_NO!$C$28</f>
        <v>0</v>
      </c>
      <c r="I8" s="143">
        <f>[7]STA_SP2_NO!$C$28</f>
        <v>3</v>
      </c>
      <c r="J8" s="54">
        <f>[8]STA_SP2_NO!$C$28</f>
        <v>1</v>
      </c>
      <c r="K8" s="143">
        <f>[9]STA_SP2_NO!$C$28</f>
        <v>9</v>
      </c>
      <c r="L8" s="387">
        <f>[10]STA_SP2_NO!$C$28</f>
        <v>3</v>
      </c>
      <c r="M8" s="332">
        <f>[11]STA_SP2_NO!$C$28</f>
        <v>0</v>
      </c>
      <c r="N8" s="249">
        <f t="shared" si="0"/>
        <v>26</v>
      </c>
    </row>
    <row r="9" spans="1:15" x14ac:dyDescent="0.25">
      <c r="A9" s="32">
        <v>5</v>
      </c>
      <c r="B9" s="33" t="s">
        <v>43</v>
      </c>
      <c r="C9" s="62">
        <f>[1]STA_SP2_NO!$C$29</f>
        <v>18</v>
      </c>
      <c r="D9" s="118">
        <f>[2]STA_SP2_NO!$C$29</f>
        <v>7</v>
      </c>
      <c r="E9" s="61">
        <f>[3]STA_SP2_NO!$C$29</f>
        <v>5</v>
      </c>
      <c r="F9" s="118">
        <f>[4]STA_SP2_NO!$C$29</f>
        <v>4</v>
      </c>
      <c r="G9" s="143">
        <f>[5]STA_SP2_NO!$C$29</f>
        <v>5</v>
      </c>
      <c r="H9" s="118">
        <f>[6]STA_SP2_NO!$C$29</f>
        <v>0</v>
      </c>
      <c r="I9" s="143">
        <f>[7]STA_SP2_NO!$C$29</f>
        <v>16</v>
      </c>
      <c r="J9" s="54">
        <f>[8]STA_SP2_NO!$C$29</f>
        <v>10</v>
      </c>
      <c r="K9" s="143">
        <f>[9]STA_SP2_NO!$C$29</f>
        <v>2</v>
      </c>
      <c r="L9" s="387">
        <f>[10]STA_SP2_NO!$C$29</f>
        <v>6</v>
      </c>
      <c r="M9" s="332">
        <f>[11]STA_SP2_NO!$C$29</f>
        <v>0</v>
      </c>
      <c r="N9" s="249">
        <f t="shared" si="0"/>
        <v>73</v>
      </c>
    </row>
    <row r="10" spans="1:15" x14ac:dyDescent="0.25">
      <c r="A10" s="32">
        <v>6</v>
      </c>
      <c r="B10" s="33" t="s">
        <v>44</v>
      </c>
      <c r="C10" s="62">
        <f>[1]STA_SP2_NO!$C$30</f>
        <v>418</v>
      </c>
      <c r="D10" s="118">
        <f>[2]STA_SP2_NO!$C$30</f>
        <v>233</v>
      </c>
      <c r="E10" s="61">
        <f>[3]STA_SP2_NO!$C$30</f>
        <v>121</v>
      </c>
      <c r="F10" s="118">
        <f>[4]STA_SP2_NO!$C$30</f>
        <v>527</v>
      </c>
      <c r="G10" s="143">
        <f>[5]STA_SP2_NO!$C$30</f>
        <v>216</v>
      </c>
      <c r="H10" s="118">
        <f>[6]STA_SP2_NO!$C$30</f>
        <v>361</v>
      </c>
      <c r="I10" s="143">
        <f>[7]STA_SP2_NO!$C$30</f>
        <v>514</v>
      </c>
      <c r="J10" s="54">
        <f>[8]STA_SP2_NO!$C$30</f>
        <v>247</v>
      </c>
      <c r="K10" s="143">
        <f>[9]STA_SP2_NO!$C$30</f>
        <v>150</v>
      </c>
      <c r="L10" s="387">
        <f>[10]STA_SP2_NO!$C$30</f>
        <v>425</v>
      </c>
      <c r="M10" s="332">
        <f>[11]STA_SP2_NO!$C$30</f>
        <v>13</v>
      </c>
      <c r="N10" s="249">
        <f t="shared" si="0"/>
        <v>3225</v>
      </c>
    </row>
    <row r="11" spans="1:15" x14ac:dyDescent="0.25">
      <c r="A11" s="32">
        <v>7</v>
      </c>
      <c r="B11" s="33" t="s">
        <v>45</v>
      </c>
      <c r="C11" s="62">
        <f>[1]STA_SP2_NO!$C$31</f>
        <v>635</v>
      </c>
      <c r="D11" s="118">
        <f>[2]STA_SP2_NO!$C$31</f>
        <v>664</v>
      </c>
      <c r="E11" s="61">
        <f>[3]STA_SP2_NO!$C$31</f>
        <v>236</v>
      </c>
      <c r="F11" s="118">
        <f>[4]STA_SP2_NO!$C$31</f>
        <v>611</v>
      </c>
      <c r="G11" s="143">
        <f>[5]STA_SP2_NO!$C$31</f>
        <v>263</v>
      </c>
      <c r="H11" s="118">
        <f>[6]STA_SP2_NO!$C$31</f>
        <v>357</v>
      </c>
      <c r="I11" s="143">
        <f>[7]STA_SP2_NO!$C$31</f>
        <v>687</v>
      </c>
      <c r="J11" s="54">
        <f>[8]STA_SP2_NO!$C$31</f>
        <v>509</v>
      </c>
      <c r="K11" s="143">
        <f>[9]STA_SP2_NO!$C$31</f>
        <v>326</v>
      </c>
      <c r="L11" s="387">
        <f>[10]STA_SP2_NO!$C$31</f>
        <v>419</v>
      </c>
      <c r="M11" s="332">
        <f>[11]STA_SP2_NO!$C$31</f>
        <v>41</v>
      </c>
      <c r="N11" s="249">
        <f t="shared" si="0"/>
        <v>4748</v>
      </c>
    </row>
    <row r="12" spans="1:15" ht="15.75" thickBot="1" x14ac:dyDescent="0.3">
      <c r="A12" s="34">
        <v>8</v>
      </c>
      <c r="B12" s="35" t="s">
        <v>46</v>
      </c>
      <c r="C12" s="62">
        <f>[1]STA_SP2_NO!$C$32</f>
        <v>1</v>
      </c>
      <c r="D12" s="118">
        <f>[2]STA_SP2_NO!$C$32</f>
        <v>0</v>
      </c>
      <c r="E12" s="61">
        <f>[3]STA_SP2_NO!$C$32</f>
        <v>3</v>
      </c>
      <c r="F12" s="118">
        <f>[4]STA_SP2_NO!$C$32</f>
        <v>2</v>
      </c>
      <c r="G12" s="143">
        <f>[5]STA_SP2_NO!$C$32</f>
        <v>2</v>
      </c>
      <c r="H12" s="118">
        <f>[6]STA_SP2_NO!$C$32</f>
        <v>5</v>
      </c>
      <c r="I12" s="143">
        <f>[7]STA_SP2_NO!$C$32</f>
        <v>2</v>
      </c>
      <c r="J12" s="54">
        <f>[8]STA_SP2_NO!$C$32</f>
        <v>3</v>
      </c>
      <c r="K12" s="143">
        <f>[9]STA_SP2_NO!$C$32</f>
        <v>0</v>
      </c>
      <c r="L12" s="387">
        <f>[10]STA_SP2_NO!$C$32</f>
        <v>0</v>
      </c>
      <c r="M12" s="332">
        <f>[11]STA_SP2_NO!$C$32</f>
        <v>0</v>
      </c>
      <c r="N12" s="249">
        <f t="shared" si="0"/>
        <v>18</v>
      </c>
    </row>
    <row r="13" spans="1:15" ht="15.75" thickBot="1" x14ac:dyDescent="0.3">
      <c r="A13" s="57"/>
      <c r="B13" s="37" t="s">
        <v>3</v>
      </c>
      <c r="C13" s="41">
        <f t="shared" ref="C13:F13" si="1">SUM(C5:C12)</f>
        <v>17965</v>
      </c>
      <c r="D13" s="39">
        <f t="shared" si="1"/>
        <v>11533</v>
      </c>
      <c r="E13" s="41">
        <f t="shared" si="1"/>
        <v>6441</v>
      </c>
      <c r="F13" s="39">
        <f t="shared" si="1"/>
        <v>13962</v>
      </c>
      <c r="G13" s="40">
        <f t="shared" ref="G13:N13" si="2">SUM(G5:G12)</f>
        <v>12350</v>
      </c>
      <c r="H13" s="39">
        <f t="shared" si="2"/>
        <v>14174</v>
      </c>
      <c r="I13" s="40">
        <f t="shared" si="2"/>
        <v>24499</v>
      </c>
      <c r="J13" s="39">
        <f t="shared" si="2"/>
        <v>12272</v>
      </c>
      <c r="K13" s="40">
        <f t="shared" si="2"/>
        <v>8061</v>
      </c>
      <c r="L13" s="380">
        <f t="shared" si="2"/>
        <v>15228</v>
      </c>
      <c r="M13" s="333">
        <f t="shared" si="2"/>
        <v>1087</v>
      </c>
      <c r="N13" s="250">
        <f t="shared" si="2"/>
        <v>137572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448" t="s">
        <v>53</v>
      </c>
      <c r="B15" s="520"/>
      <c r="C15" s="48">
        <f>C13/N13</f>
        <v>0.13058616578955021</v>
      </c>
      <c r="D15" s="56">
        <f>D13/N13</f>
        <v>8.3832465908760506E-2</v>
      </c>
      <c r="E15" s="48">
        <f>E13/N13</f>
        <v>4.6819120169801998E-2</v>
      </c>
      <c r="F15" s="47">
        <f>F13/N13</f>
        <v>0.10148867502107987</v>
      </c>
      <c r="G15" s="70">
        <f>G13/N13</f>
        <v>8.9771174366876982E-2</v>
      </c>
      <c r="H15" s="47">
        <f>H13/N13</f>
        <v>0.10302968627336959</v>
      </c>
      <c r="I15" s="70">
        <f>I13/N13</f>
        <v>0.17808129561247929</v>
      </c>
      <c r="J15" s="47">
        <f>J13/N13</f>
        <v>8.9204198528770387E-2</v>
      </c>
      <c r="K15" s="70">
        <f>K13/N13</f>
        <v>5.8594772192015816E-2</v>
      </c>
      <c r="L15" s="47">
        <f>L13/N13</f>
        <v>0.11069112900880994</v>
      </c>
      <c r="M15" s="342">
        <f>M13/N13</f>
        <v>7.9013171284854477E-3</v>
      </c>
      <c r="N15" s="258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26"/>
      <c r="B18" s="26"/>
      <c r="C18" s="460" t="s">
        <v>107</v>
      </c>
      <c r="D18" s="461"/>
      <c r="E18" s="461"/>
      <c r="F18" s="461"/>
      <c r="G18" s="461"/>
      <c r="H18" s="461"/>
      <c r="I18" s="461"/>
      <c r="J18" s="462"/>
      <c r="K18" s="462"/>
      <c r="L18" s="26"/>
      <c r="M18" s="26"/>
      <c r="N18" s="155" t="s">
        <v>36</v>
      </c>
    </row>
    <row r="19" spans="1:15" ht="15.75" thickBot="1" x14ac:dyDescent="0.3">
      <c r="A19" s="463" t="s">
        <v>0</v>
      </c>
      <c r="B19" s="465" t="s">
        <v>1</v>
      </c>
      <c r="C19" s="485" t="s">
        <v>2</v>
      </c>
      <c r="D19" s="486"/>
      <c r="E19" s="486"/>
      <c r="F19" s="486"/>
      <c r="G19" s="486"/>
      <c r="H19" s="486"/>
      <c r="I19" s="486"/>
      <c r="J19" s="486"/>
      <c r="K19" s="486"/>
      <c r="L19" s="486"/>
      <c r="M19" s="487"/>
      <c r="N19" s="490" t="s">
        <v>3</v>
      </c>
    </row>
    <row r="20" spans="1:15" x14ac:dyDescent="0.25">
      <c r="A20" s="503"/>
      <c r="B20" s="504"/>
      <c r="C20" s="524" t="s">
        <v>69</v>
      </c>
      <c r="D20" s="465" t="s">
        <v>4</v>
      </c>
      <c r="E20" s="497" t="s">
        <v>5</v>
      </c>
      <c r="F20" s="465" t="s">
        <v>6</v>
      </c>
      <c r="G20" s="499" t="s">
        <v>8</v>
      </c>
      <c r="H20" s="465" t="s">
        <v>94</v>
      </c>
      <c r="I20" s="497" t="s">
        <v>9</v>
      </c>
      <c r="J20" s="507" t="s">
        <v>10</v>
      </c>
      <c r="K20" s="497" t="s">
        <v>93</v>
      </c>
      <c r="L20" s="465" t="s">
        <v>11</v>
      </c>
      <c r="M20" s="501" t="s">
        <v>96</v>
      </c>
      <c r="N20" s="491"/>
    </row>
    <row r="21" spans="1:15" ht="15.75" thickBot="1" x14ac:dyDescent="0.3">
      <c r="A21" s="498"/>
      <c r="B21" s="505"/>
      <c r="C21" s="512"/>
      <c r="D21" s="498"/>
      <c r="E21" s="498"/>
      <c r="F21" s="498"/>
      <c r="G21" s="500"/>
      <c r="H21" s="466"/>
      <c r="I21" s="506"/>
      <c r="J21" s="508"/>
      <c r="K21" s="506"/>
      <c r="L21" s="466"/>
      <c r="M21" s="502"/>
      <c r="N21" s="492"/>
    </row>
    <row r="22" spans="1:15" x14ac:dyDescent="0.25">
      <c r="A22" s="30">
        <v>1</v>
      </c>
      <c r="B22" s="31" t="s">
        <v>39</v>
      </c>
      <c r="C22" s="62">
        <f>[1]STA_SP2_NO!$D$25</f>
        <v>80222.48</v>
      </c>
      <c r="D22" s="118">
        <f>[2]STA_SP2_NO!$D$25</f>
        <v>46233.23</v>
      </c>
      <c r="E22" s="61">
        <f>[3]STA_SP2_NO!$D$25</f>
        <v>27949</v>
      </c>
      <c r="F22" s="388">
        <f>[4]STA_SP2_NO!$D$25</f>
        <v>56058.89</v>
      </c>
      <c r="G22" s="143">
        <f>[5]STA_SP2_NO!$D$25</f>
        <v>51270</v>
      </c>
      <c r="H22" s="118">
        <f>[6]STA_SP2_NO!$D$25</f>
        <v>58837.05</v>
      </c>
      <c r="I22" s="143">
        <f>[7]STA_SP2_NO!$D$25</f>
        <v>103410</v>
      </c>
      <c r="J22" s="54">
        <f>[8]STA_SP2_NO!$D$25</f>
        <v>51041</v>
      </c>
      <c r="K22" s="143">
        <f>[9]STA_SP2_NO!$D$25</f>
        <v>35827.980000000003</v>
      </c>
      <c r="L22" s="387">
        <f>[10]STA_SP2_NO!$D$25</f>
        <v>64276</v>
      </c>
      <c r="M22" s="332">
        <f>[11]STA_SP2_NO!$D$25</f>
        <v>4553</v>
      </c>
      <c r="N22" s="249">
        <f t="shared" ref="N22:N29" si="3">SUM(C22:M22)</f>
        <v>579678.62999999989</v>
      </c>
    </row>
    <row r="23" spans="1:15" x14ac:dyDescent="0.25">
      <c r="A23" s="32">
        <v>2</v>
      </c>
      <c r="B23" s="33" t="s">
        <v>40</v>
      </c>
      <c r="C23" s="62">
        <f>[1]STA_SP2_NO!$D$26</f>
        <v>12280.39</v>
      </c>
      <c r="D23" s="118">
        <f>[2]STA_SP2_NO!$D$26</f>
        <v>10572.68</v>
      </c>
      <c r="E23" s="61">
        <f>[3]STA_SP2_NO!$D$26</f>
        <v>4725</v>
      </c>
      <c r="F23" s="388">
        <f>[4]STA_SP2_NO!$D$26</f>
        <v>11299.31</v>
      </c>
      <c r="G23" s="143">
        <f>[5]STA_SP2_NO!$D$26</f>
        <v>5545</v>
      </c>
      <c r="H23" s="118">
        <f>[6]STA_SP2_NO!$D$26</f>
        <v>6293.53</v>
      </c>
      <c r="I23" s="143">
        <f>[7]STA_SP2_NO!$D$26</f>
        <v>11749</v>
      </c>
      <c r="J23" s="54">
        <f>[8]STA_SP2_NO!$D$26</f>
        <v>8639</v>
      </c>
      <c r="K23" s="143">
        <f>[9]STA_SP2_NO!$D$26</f>
        <v>6685.21</v>
      </c>
      <c r="L23" s="387">
        <f>[10]STA_SP2_NO!$D$26</f>
        <v>7406</v>
      </c>
      <c r="M23" s="332">
        <f>[11]STA_SP2_NO!$D$26</f>
        <v>792.21</v>
      </c>
      <c r="N23" s="249">
        <f t="shared" si="3"/>
        <v>85987.330000000016</v>
      </c>
    </row>
    <row r="24" spans="1:15" x14ac:dyDescent="0.25">
      <c r="A24" s="32">
        <v>3</v>
      </c>
      <c r="B24" s="33" t="s">
        <v>41</v>
      </c>
      <c r="C24" s="62">
        <f>[1]STA_SP2_NO!$D$27</f>
        <v>1811.01</v>
      </c>
      <c r="D24" s="118">
        <f>[2]STA_SP2_NO!$D$27</f>
        <v>948.11</v>
      </c>
      <c r="E24" s="61">
        <f>[3]STA_SP2_NO!$D$27</f>
        <v>465</v>
      </c>
      <c r="F24" s="388">
        <f>[4]STA_SP2_NO!$D$27</f>
        <v>1819.32</v>
      </c>
      <c r="G24" s="143">
        <f>[5]STA_SP2_NO!$D$27</f>
        <v>3237</v>
      </c>
      <c r="H24" s="118">
        <f>[6]STA_SP2_NO!$D$27</f>
        <v>793.11</v>
      </c>
      <c r="I24" s="143">
        <f>[7]STA_SP2_NO!$D$27</f>
        <v>1559</v>
      </c>
      <c r="J24" s="54">
        <f>[8]STA_SP2_NO!$D$27</f>
        <v>1119</v>
      </c>
      <c r="K24" s="143">
        <f>[9]STA_SP2_NO!$D$27</f>
        <v>1188.32</v>
      </c>
      <c r="L24" s="387">
        <f>[10]STA_SP2_NO!$D$27</f>
        <v>517</v>
      </c>
      <c r="M24" s="332">
        <f>[11]STA_SP2_NO!$D$27</f>
        <v>0</v>
      </c>
      <c r="N24" s="249">
        <f t="shared" si="3"/>
        <v>13456.869999999999</v>
      </c>
    </row>
    <row r="25" spans="1:15" x14ac:dyDescent="0.25">
      <c r="A25" s="32">
        <v>4</v>
      </c>
      <c r="B25" s="33" t="s">
        <v>42</v>
      </c>
      <c r="C25" s="62">
        <f>[1]STA_SP2_NO!$D$28</f>
        <v>22.14</v>
      </c>
      <c r="D25" s="118">
        <f>[2]STA_SP2_NO!$D$28</f>
        <v>5.53</v>
      </c>
      <c r="E25" s="61">
        <f>[3]STA_SP2_NO!$D$28</f>
        <v>6</v>
      </c>
      <c r="F25" s="388">
        <f>[4]STA_SP2_NO!$D$28</f>
        <v>22.14</v>
      </c>
      <c r="G25" s="143">
        <f>[5]STA_SP2_NO!$D$28</f>
        <v>0</v>
      </c>
      <c r="H25" s="118">
        <f>[6]STA_SP2_NO!$D$28</f>
        <v>0</v>
      </c>
      <c r="I25" s="143">
        <f>[7]STA_SP2_NO!$D$28</f>
        <v>17</v>
      </c>
      <c r="J25" s="54">
        <f>[8]STA_SP2_NO!$D$28</f>
        <v>17</v>
      </c>
      <c r="K25" s="143">
        <f>[9]STA_SP2_NO!$D$28</f>
        <v>49.82</v>
      </c>
      <c r="L25" s="387">
        <f>[10]STA_SP2_NO!$D$28</f>
        <v>26</v>
      </c>
      <c r="M25" s="332">
        <f>[11]STA_SP2_NO!$D$28</f>
        <v>0</v>
      </c>
      <c r="N25" s="249">
        <f t="shared" si="3"/>
        <v>165.63</v>
      </c>
    </row>
    <row r="26" spans="1:15" x14ac:dyDescent="0.25">
      <c r="A26" s="32">
        <v>5</v>
      </c>
      <c r="B26" s="33" t="s">
        <v>43</v>
      </c>
      <c r="C26" s="62">
        <f>[1]STA_SP2_NO!$D$29</f>
        <v>99.65</v>
      </c>
      <c r="D26" s="118">
        <f>[2]STA_SP2_NO!$D$29</f>
        <v>33.51</v>
      </c>
      <c r="E26" s="61">
        <f>[3]STA_SP2_NO!$D$29</f>
        <v>28</v>
      </c>
      <c r="F26" s="388">
        <f>[4]STA_SP2_NO!$D$29</f>
        <v>22.14</v>
      </c>
      <c r="G26" s="143">
        <f>[5]STA_SP2_NO!$D$29</f>
        <v>28</v>
      </c>
      <c r="H26" s="118">
        <f>[6]STA_SP2_NO!$D$29</f>
        <v>0</v>
      </c>
      <c r="I26" s="143">
        <f>[7]STA_SP2_NO!$D$29</f>
        <v>83</v>
      </c>
      <c r="J26" s="54">
        <f>[8]STA_SP2_NO!$D$29</f>
        <v>55</v>
      </c>
      <c r="K26" s="143">
        <f>[9]STA_SP2_NO!$D$29</f>
        <v>11.07</v>
      </c>
      <c r="L26" s="387">
        <f>[10]STA_SP2_NO!$D$29</f>
        <v>33</v>
      </c>
      <c r="M26" s="332">
        <f>[11]STA_SP2_NO!$D$29</f>
        <v>0</v>
      </c>
      <c r="N26" s="249">
        <f t="shared" si="3"/>
        <v>393.37</v>
      </c>
    </row>
    <row r="27" spans="1:15" x14ac:dyDescent="0.25">
      <c r="A27" s="32">
        <v>6</v>
      </c>
      <c r="B27" s="33" t="s">
        <v>44</v>
      </c>
      <c r="C27" s="62">
        <f>[1]STA_SP2_NO!$D$30</f>
        <v>779.3</v>
      </c>
      <c r="D27" s="118">
        <f>[2]STA_SP2_NO!$D$30</f>
        <v>417.1</v>
      </c>
      <c r="E27" s="61">
        <f>[3]STA_SP2_NO!$D$30</f>
        <v>224</v>
      </c>
      <c r="F27" s="388">
        <f>[4]STA_SP2_NO!$D$30</f>
        <v>942.4</v>
      </c>
      <c r="G27" s="143">
        <f>[5]STA_SP2_NO!$D$30</f>
        <v>383</v>
      </c>
      <c r="H27" s="118">
        <f>[6]STA_SP2_NO!$D$30</f>
        <v>636.85</v>
      </c>
      <c r="I27" s="143">
        <f>[7]STA_SP2_NO!$D$30</f>
        <v>938</v>
      </c>
      <c r="J27" s="54">
        <f>[8]STA_SP2_NO!$D$30</f>
        <v>437</v>
      </c>
      <c r="K27" s="143">
        <f>[9]STA_SP2_NO!$D$30</f>
        <v>277.5</v>
      </c>
      <c r="L27" s="387">
        <f>[10]STA_SP2_NO!$D$30</f>
        <v>766</v>
      </c>
      <c r="M27" s="332">
        <f>[11]STA_SP2_NO!$D$30</f>
        <v>24.05</v>
      </c>
      <c r="N27" s="249">
        <f t="shared" si="3"/>
        <v>5825.2</v>
      </c>
    </row>
    <row r="28" spans="1:15" x14ac:dyDescent="0.25">
      <c r="A28" s="32">
        <v>7</v>
      </c>
      <c r="B28" s="33" t="s">
        <v>45</v>
      </c>
      <c r="C28" s="62">
        <f>[1]STA_SP2_NO!$D$31</f>
        <v>3534.26</v>
      </c>
      <c r="D28" s="118">
        <f>[2]STA_SP2_NO!$D$31</f>
        <v>3408.86</v>
      </c>
      <c r="E28" s="61">
        <f>[3]STA_SP2_NO!$D$31</f>
        <v>1301</v>
      </c>
      <c r="F28" s="388">
        <f>[4]STA_SP2_NO!$D$31</f>
        <v>3151.81</v>
      </c>
      <c r="G28" s="143">
        <f>[5]STA_SP2_NO!$D$31</f>
        <v>1395</v>
      </c>
      <c r="H28" s="118">
        <f>[6]STA_SP2_NO!$D$31</f>
        <v>1814.04</v>
      </c>
      <c r="I28" s="143">
        <f>[7]STA_SP2_NO!$D$31</f>
        <v>3777</v>
      </c>
      <c r="J28" s="54">
        <f>[8]STA_SP2_NO!$D$31</f>
        <v>2636</v>
      </c>
      <c r="K28" s="143">
        <f>[9]STA_SP2_NO!$D$31</f>
        <v>1793.66</v>
      </c>
      <c r="L28" s="387">
        <f>[10]STA_SP2_NO!$D$31</f>
        <v>2147</v>
      </c>
      <c r="M28" s="332">
        <f>[11]STA_SP2_NO!$D$31</f>
        <v>226.98</v>
      </c>
      <c r="N28" s="249">
        <f t="shared" si="3"/>
        <v>25185.61</v>
      </c>
    </row>
    <row r="29" spans="1:15" ht="15.75" thickBot="1" x14ac:dyDescent="0.3">
      <c r="A29" s="34">
        <v>8</v>
      </c>
      <c r="B29" s="35" t="s">
        <v>46</v>
      </c>
      <c r="C29" s="62">
        <f>[1]STA_SP2_NO!$D$32</f>
        <v>5.84</v>
      </c>
      <c r="D29" s="118">
        <f>[2]STA_SP2_NO!$D$32</f>
        <v>0</v>
      </c>
      <c r="E29" s="61">
        <f>[3]STA_SP2_NO!$D$32</f>
        <v>17</v>
      </c>
      <c r="F29" s="388">
        <f>[4]STA_SP2_NO!$D$32</f>
        <v>11.07</v>
      </c>
      <c r="G29" s="143">
        <f>[5]STA_SP2_NO!$D$32</f>
        <v>11</v>
      </c>
      <c r="H29" s="118">
        <f>[6]STA_SP2_NO!$D$32</f>
        <v>27.68</v>
      </c>
      <c r="I29" s="143">
        <f>[7]STA_SP2_NO!$D$32</f>
        <v>11</v>
      </c>
      <c r="J29" s="54">
        <f>[8]STA_SP2_NO!$D$32</f>
        <v>17</v>
      </c>
      <c r="K29" s="143">
        <f>[9]STA_SP2_NO!$D$32</f>
        <v>0</v>
      </c>
      <c r="L29" s="387">
        <f>[10]STA_SP2_NO!$D$32</f>
        <v>0</v>
      </c>
      <c r="M29" s="332">
        <f>[11]STA_SP2_NO!$D$32</f>
        <v>0</v>
      </c>
      <c r="N29" s="249">
        <f t="shared" si="3"/>
        <v>100.59</v>
      </c>
    </row>
    <row r="30" spans="1:15" ht="15.75" thickBot="1" x14ac:dyDescent="0.3">
      <c r="A30" s="57"/>
      <c r="B30" s="37" t="s">
        <v>3</v>
      </c>
      <c r="C30" s="41">
        <f t="shared" ref="C30:E30" si="4">SUM(C22:C29)</f>
        <v>98755.069999999978</v>
      </c>
      <c r="D30" s="39">
        <f t="shared" si="4"/>
        <v>61619.020000000004</v>
      </c>
      <c r="E30" s="41">
        <f t="shared" si="4"/>
        <v>34715</v>
      </c>
      <c r="F30" s="51">
        <f t="shared" ref="F30:N30" si="5">SUM(F22:F29)</f>
        <v>73327.08</v>
      </c>
      <c r="G30" s="40">
        <f t="shared" si="5"/>
        <v>61869</v>
      </c>
      <c r="H30" s="39">
        <f t="shared" si="5"/>
        <v>68402.259999999995</v>
      </c>
      <c r="I30" s="40">
        <f t="shared" si="5"/>
        <v>121544</v>
      </c>
      <c r="J30" s="39">
        <f t="shared" si="5"/>
        <v>63961</v>
      </c>
      <c r="K30" s="40">
        <f t="shared" si="5"/>
        <v>45833.560000000005</v>
      </c>
      <c r="L30" s="380">
        <f t="shared" si="5"/>
        <v>75171</v>
      </c>
      <c r="M30" s="333">
        <f t="shared" si="5"/>
        <v>5596.24</v>
      </c>
      <c r="N30" s="250">
        <f t="shared" si="5"/>
        <v>710793.22999999986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8"/>
      <c r="N31" s="1"/>
    </row>
    <row r="32" spans="1:15" ht="15.75" thickBot="1" x14ac:dyDescent="0.3">
      <c r="A32" s="448" t="s">
        <v>53</v>
      </c>
      <c r="B32" s="520"/>
      <c r="C32" s="48">
        <f>C30/N30</f>
        <v>0.13893642459143848</v>
      </c>
      <c r="D32" s="56">
        <f>D30/N30</f>
        <v>8.6690499289083012E-2</v>
      </c>
      <c r="E32" s="48">
        <f>E30/N30</f>
        <v>4.8839801133164995E-2</v>
      </c>
      <c r="F32" s="47">
        <f>F30/N30</f>
        <v>0.1031623219033755</v>
      </c>
      <c r="G32" s="70">
        <f>G30/N30</f>
        <v>8.7042190877366699E-2</v>
      </c>
      <c r="H32" s="47">
        <f>H30/N30</f>
        <v>9.6233696542101288E-2</v>
      </c>
      <c r="I32" s="70">
        <f>I30/N30</f>
        <v>0.17099768944057053</v>
      </c>
      <c r="J32" s="47">
        <f>J30/N30</f>
        <v>8.9985381543377971E-2</v>
      </c>
      <c r="K32" s="70">
        <f>K30/N30</f>
        <v>6.4482268633875447E-2</v>
      </c>
      <c r="L32" s="389">
        <f>L30/N30</f>
        <v>0.10575649405101961</v>
      </c>
      <c r="M32" s="342">
        <f>M30/N30</f>
        <v>7.8732319946266238E-3</v>
      </c>
      <c r="N32" s="258">
        <f>SUM(C32:M32)</f>
        <v>1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5:B15"/>
    <mergeCell ref="C1:K1"/>
    <mergeCell ref="A2:A4"/>
    <mergeCell ref="B2:B4"/>
    <mergeCell ref="H3:H4"/>
    <mergeCell ref="I3:I4"/>
    <mergeCell ref="J3:J4"/>
    <mergeCell ref="K3:K4"/>
    <mergeCell ref="C2:M2"/>
    <mergeCell ref="N2:N4"/>
    <mergeCell ref="C3:C4"/>
    <mergeCell ref="D3:D4"/>
    <mergeCell ref="E3:E4"/>
    <mergeCell ref="F3:F4"/>
    <mergeCell ref="G3:G4"/>
    <mergeCell ref="L3:L4"/>
    <mergeCell ref="M3:M4"/>
    <mergeCell ref="N19:N21"/>
    <mergeCell ref="C20:C21"/>
    <mergeCell ref="D20:D21"/>
    <mergeCell ref="E20:E21"/>
    <mergeCell ref="K20:K21"/>
    <mergeCell ref="L20:L21"/>
    <mergeCell ref="M20:M2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P29" sqref="P29"/>
    </sheetView>
  </sheetViews>
  <sheetFormatPr defaultRowHeight="15" x14ac:dyDescent="0.25"/>
  <cols>
    <col min="1" max="1" width="3.85546875" customWidth="1"/>
    <col min="2" max="2" width="20" customWidth="1"/>
  </cols>
  <sheetData>
    <row r="1" spans="1:15" ht="28.5" customHeight="1" thickBot="1" x14ac:dyDescent="0.3">
      <c r="A1" s="26"/>
      <c r="B1" s="26"/>
      <c r="C1" s="460" t="s">
        <v>108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52"/>
    </row>
    <row r="2" spans="1:15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490" t="s">
        <v>3</v>
      </c>
    </row>
    <row r="3" spans="1:15" x14ac:dyDescent="0.25">
      <c r="A3" s="503"/>
      <c r="B3" s="504"/>
      <c r="C3" s="510" t="s">
        <v>69</v>
      </c>
      <c r="D3" s="504" t="s">
        <v>4</v>
      </c>
      <c r="E3" s="514" t="s">
        <v>5</v>
      </c>
      <c r="F3" s="465" t="s">
        <v>6</v>
      </c>
      <c r="G3" s="499" t="s">
        <v>8</v>
      </c>
      <c r="H3" s="465" t="s">
        <v>94</v>
      </c>
      <c r="I3" s="497" t="s">
        <v>9</v>
      </c>
      <c r="J3" s="507" t="s">
        <v>10</v>
      </c>
      <c r="K3" s="497" t="s">
        <v>93</v>
      </c>
      <c r="L3" s="465" t="s">
        <v>11</v>
      </c>
      <c r="M3" s="516" t="s">
        <v>96</v>
      </c>
      <c r="N3" s="491"/>
    </row>
    <row r="4" spans="1:15" ht="15.75" thickBot="1" x14ac:dyDescent="0.3">
      <c r="A4" s="498"/>
      <c r="B4" s="505"/>
      <c r="C4" s="512"/>
      <c r="D4" s="498"/>
      <c r="E4" s="498"/>
      <c r="F4" s="498"/>
      <c r="G4" s="500"/>
      <c r="H4" s="466"/>
      <c r="I4" s="506"/>
      <c r="J4" s="508"/>
      <c r="K4" s="506"/>
      <c r="L4" s="466"/>
      <c r="M4" s="518"/>
      <c r="N4" s="492"/>
    </row>
    <row r="5" spans="1:15" x14ac:dyDescent="0.25">
      <c r="A5" s="30">
        <v>1</v>
      </c>
      <c r="B5" s="31" t="s">
        <v>39</v>
      </c>
      <c r="C5" s="62">
        <f>[1]STA_SP2_NO!$C$34</f>
        <v>263</v>
      </c>
      <c r="D5" s="118">
        <f>[2]STA_SP2_NO!$C$34</f>
        <v>75</v>
      </c>
      <c r="E5" s="62">
        <f>[3]STA_SP2_NO!$C$34</f>
        <v>15286</v>
      </c>
      <c r="F5" s="118">
        <f>[4]STA_SP2_NO!$C$34</f>
        <v>107</v>
      </c>
      <c r="G5" s="391">
        <f>[5]STA_SP2_NO!$C$34</f>
        <v>109</v>
      </c>
      <c r="H5" s="54">
        <f>[6]STA_SP2_NO!$C$34</f>
        <v>1848</v>
      </c>
      <c r="I5" s="61">
        <f>[7]STA_SP2_NO!$C$34</f>
        <v>302</v>
      </c>
      <c r="J5" s="54">
        <f>[8]STA_SP2_NO!$C$34</f>
        <v>48</v>
      </c>
      <c r="K5" s="61">
        <f>[9]STA_SP2_NO!$C$34</f>
        <v>1410</v>
      </c>
      <c r="L5" s="390">
        <f>[10]STA_SP2_NO!$C$34</f>
        <v>52</v>
      </c>
      <c r="M5" s="332">
        <f>[11]STA_SP2_NO!$C$34</f>
        <v>248</v>
      </c>
      <c r="N5" s="249">
        <f t="shared" ref="N5:N13" si="0">SUM(C5:M5)</f>
        <v>19748</v>
      </c>
    </row>
    <row r="6" spans="1:15" x14ac:dyDescent="0.25">
      <c r="A6" s="32">
        <v>2</v>
      </c>
      <c r="B6" s="33" t="s">
        <v>40</v>
      </c>
      <c r="C6" s="62">
        <f>[1]STA_SP2_NO!$C$35</f>
        <v>11</v>
      </c>
      <c r="D6" s="118">
        <f>[2]STA_SP2_NO!$C$35</f>
        <v>1</v>
      </c>
      <c r="E6" s="62">
        <f>[3]STA_SP2_NO!$C$35</f>
        <v>241</v>
      </c>
      <c r="F6" s="118">
        <f>[4]STA_SP2_NO!$C$35</f>
        <v>3</v>
      </c>
      <c r="G6" s="391">
        <f>[5]STA_SP2_NO!$C$35</f>
        <v>1</v>
      </c>
      <c r="H6" s="54">
        <f>[6]STA_SP2_NO!$C$35</f>
        <v>0</v>
      </c>
      <c r="I6" s="61">
        <f>[7]STA_SP2_NO!$C$35</f>
        <v>0</v>
      </c>
      <c r="J6" s="54">
        <f>[8]STA_SP2_NO!$C$35</f>
        <v>0</v>
      </c>
      <c r="K6" s="61">
        <f>[9]STA_SP2_NO!$C$35</f>
        <v>15</v>
      </c>
      <c r="L6" s="390">
        <f>[10]STA_SP2_NO!$C$35</f>
        <v>3</v>
      </c>
      <c r="M6" s="332">
        <f>[11]STA_SP2_NO!$C$35</f>
        <v>0</v>
      </c>
      <c r="N6" s="249">
        <f t="shared" si="0"/>
        <v>275</v>
      </c>
    </row>
    <row r="7" spans="1:15" x14ac:dyDescent="0.25">
      <c r="A7" s="32">
        <v>3</v>
      </c>
      <c r="B7" s="33" t="s">
        <v>41</v>
      </c>
      <c r="C7" s="62">
        <f>[1]STA_SP2_NO!$C$36</f>
        <v>1</v>
      </c>
      <c r="D7" s="118">
        <f>[2]STA_SP2_NO!$C$36</f>
        <v>0</v>
      </c>
      <c r="E7" s="62">
        <f>[3]STA_SP2_NO!$C$36</f>
        <v>28</v>
      </c>
      <c r="F7" s="118">
        <f>[4]STA_SP2_NO!$C$36</f>
        <v>0</v>
      </c>
      <c r="G7" s="391">
        <f>[5]STA_SP2_NO!$C$36</f>
        <v>0</v>
      </c>
      <c r="H7" s="54">
        <f>[6]STA_SP2_NO!$C$36</f>
        <v>0</v>
      </c>
      <c r="I7" s="61">
        <f>[7]STA_SP2_NO!$C$36</f>
        <v>0</v>
      </c>
      <c r="J7" s="54">
        <f>[8]STA_SP2_NO!$C$36</f>
        <v>0</v>
      </c>
      <c r="K7" s="61">
        <f>[9]STA_SP2_NO!$C$36</f>
        <v>2</v>
      </c>
      <c r="L7" s="390">
        <f>[10]STA_SP2_NO!$C$36</f>
        <v>0</v>
      </c>
      <c r="M7" s="332">
        <f>[11]STA_SP2_NO!$C$36</f>
        <v>0</v>
      </c>
      <c r="N7" s="249">
        <f t="shared" si="0"/>
        <v>31</v>
      </c>
    </row>
    <row r="8" spans="1:15" x14ac:dyDescent="0.25">
      <c r="A8" s="32">
        <v>4</v>
      </c>
      <c r="B8" s="33" t="s">
        <v>42</v>
      </c>
      <c r="C8" s="62">
        <f>[1]STA_SP2_NO!$C$37</f>
        <v>2</v>
      </c>
      <c r="D8" s="118">
        <f>[2]STA_SP2_NO!$C$37</f>
        <v>0</v>
      </c>
      <c r="E8" s="62">
        <f>[3]STA_SP2_NO!$C$37</f>
        <v>0</v>
      </c>
      <c r="F8" s="118">
        <f>[4]STA_SP2_NO!$C$37</f>
        <v>1</v>
      </c>
      <c r="G8" s="391">
        <f>[5]STA_SP2_NO!$C$37</f>
        <v>0</v>
      </c>
      <c r="H8" s="54">
        <f>[6]STA_SP2_NO!$C$37</f>
        <v>0</v>
      </c>
      <c r="I8" s="61">
        <f>[7]STA_SP2_NO!$C$37</f>
        <v>0</v>
      </c>
      <c r="J8" s="54">
        <f>[8]STA_SP2_NO!$C$37</f>
        <v>0</v>
      </c>
      <c r="K8" s="61">
        <f>[9]STA_SP2_NO!$C$37</f>
        <v>0</v>
      </c>
      <c r="L8" s="390">
        <f>[10]STA_SP2_NO!$C$37</f>
        <v>0</v>
      </c>
      <c r="M8" s="332">
        <f>[11]STA_SP2_NO!$C$37</f>
        <v>1</v>
      </c>
      <c r="N8" s="249">
        <f t="shared" si="0"/>
        <v>4</v>
      </c>
    </row>
    <row r="9" spans="1:15" x14ac:dyDescent="0.25">
      <c r="A9" s="32">
        <v>5</v>
      </c>
      <c r="B9" s="33" t="s">
        <v>43</v>
      </c>
      <c r="C9" s="62">
        <f>[1]STA_SP2_NO!$C$38</f>
        <v>0</v>
      </c>
      <c r="D9" s="118">
        <f>[2]STA_SP2_NO!$C$38</f>
        <v>0</v>
      </c>
      <c r="E9" s="62">
        <f>[3]STA_SP2_NO!$C$38</f>
        <v>10</v>
      </c>
      <c r="F9" s="118">
        <f>[4]STA_SP2_NO!$C$38</f>
        <v>0</v>
      </c>
      <c r="G9" s="391">
        <f>[5]STA_SP2_NO!$C$38</f>
        <v>0</v>
      </c>
      <c r="H9" s="54">
        <f>[6]STA_SP2_NO!$C$38</f>
        <v>0</v>
      </c>
      <c r="I9" s="61">
        <f>[7]STA_SP2_NO!$C$38</f>
        <v>0</v>
      </c>
      <c r="J9" s="54">
        <f>[8]STA_SP2_NO!$C$38</f>
        <v>0</v>
      </c>
      <c r="K9" s="61">
        <f>[9]STA_SP2_NO!$C$38</f>
        <v>3</v>
      </c>
      <c r="L9" s="390">
        <f>[10]STA_SP2_NO!$C$38</f>
        <v>0</v>
      </c>
      <c r="M9" s="332">
        <f>[11]STA_SP2_NO!$C$38</f>
        <v>0</v>
      </c>
      <c r="N9" s="249">
        <f t="shared" si="0"/>
        <v>13</v>
      </c>
    </row>
    <row r="10" spans="1:15" x14ac:dyDescent="0.25">
      <c r="A10" s="32">
        <v>6</v>
      </c>
      <c r="B10" s="33" t="s">
        <v>44</v>
      </c>
      <c r="C10" s="62">
        <f>[1]STA_SP2_NO!$C$39</f>
        <v>5</v>
      </c>
      <c r="D10" s="118">
        <f>[2]STA_SP2_NO!$C$39</f>
        <v>2</v>
      </c>
      <c r="E10" s="62">
        <f>[3]STA_SP2_NO!$C$39</f>
        <v>19</v>
      </c>
      <c r="F10" s="118">
        <f>[4]STA_SP2_NO!$C$39</f>
        <v>2</v>
      </c>
      <c r="G10" s="391">
        <f>[5]STA_SP2_NO!$C$39</f>
        <v>5</v>
      </c>
      <c r="H10" s="54">
        <f>[6]STA_SP2_NO!$C$39</f>
        <v>0</v>
      </c>
      <c r="I10" s="61">
        <f>[7]STA_SP2_NO!$C$39</f>
        <v>0</v>
      </c>
      <c r="J10" s="54">
        <f>[8]STA_SP2_NO!$C$39</f>
        <v>0</v>
      </c>
      <c r="K10" s="61">
        <f>[9]STA_SP2_NO!$C$39</f>
        <v>185</v>
      </c>
      <c r="L10" s="390">
        <f>[10]STA_SP2_NO!$C$39</f>
        <v>3</v>
      </c>
      <c r="M10" s="332">
        <f>[11]STA_SP2_NO!$C$39</f>
        <v>58</v>
      </c>
      <c r="N10" s="249">
        <f t="shared" si="0"/>
        <v>279</v>
      </c>
    </row>
    <row r="11" spans="1:15" x14ac:dyDescent="0.25">
      <c r="A11" s="32">
        <v>7</v>
      </c>
      <c r="B11" s="33" t="s">
        <v>45</v>
      </c>
      <c r="C11" s="62">
        <f>[1]STA_SP2_NO!$C$40</f>
        <v>22</v>
      </c>
      <c r="D11" s="118">
        <f>[2]STA_SP2_NO!$C$40</f>
        <v>0</v>
      </c>
      <c r="E11" s="62">
        <f>[3]STA_SP2_NO!$C$40</f>
        <v>37</v>
      </c>
      <c r="F11" s="118">
        <f>[4]STA_SP2_NO!$C$40</f>
        <v>7</v>
      </c>
      <c r="G11" s="391">
        <f>[5]STA_SP2_NO!$C$40</f>
        <v>4</v>
      </c>
      <c r="H11" s="54">
        <f>[6]STA_SP2_NO!$C$40</f>
        <v>0</v>
      </c>
      <c r="I11" s="61">
        <f>[7]STA_SP2_NO!$C$40</f>
        <v>0</v>
      </c>
      <c r="J11" s="54">
        <f>[8]STA_SP2_NO!$C$40</f>
        <v>3</v>
      </c>
      <c r="K11" s="61">
        <f>[9]STA_SP2_NO!$C$40</f>
        <v>180</v>
      </c>
      <c r="L11" s="390">
        <f>[10]STA_SP2_NO!$C$40</f>
        <v>2</v>
      </c>
      <c r="M11" s="332">
        <f>[11]STA_SP2_NO!$C$40</f>
        <v>10</v>
      </c>
      <c r="N11" s="249">
        <f t="shared" si="0"/>
        <v>265</v>
      </c>
    </row>
    <row r="12" spans="1:15" ht="15.75" thickBot="1" x14ac:dyDescent="0.3">
      <c r="A12" s="34">
        <v>8</v>
      </c>
      <c r="B12" s="35" t="s">
        <v>46</v>
      </c>
      <c r="C12" s="62">
        <f>[1]STA_SP2_NO!$C$41</f>
        <v>0</v>
      </c>
      <c r="D12" s="118">
        <f>[2]STA_SP2_NO!$C$41</f>
        <v>0</v>
      </c>
      <c r="E12" s="62">
        <f>[3]STA_SP2_NO!$C$41</f>
        <v>1</v>
      </c>
      <c r="F12" s="118">
        <f>[4]STA_SP2_NO!$C$41</f>
        <v>0</v>
      </c>
      <c r="G12" s="391">
        <f>[5]STA_SP2_NO!$C$41</f>
        <v>0</v>
      </c>
      <c r="H12" s="54">
        <f>[6]STA_SP2_NO!$C$41</f>
        <v>0</v>
      </c>
      <c r="I12" s="61">
        <f>[7]STA_SP2_NO!$C$41</f>
        <v>0</v>
      </c>
      <c r="J12" s="54">
        <f>[8]STA_SP2_NO!$C$41</f>
        <v>0</v>
      </c>
      <c r="K12" s="61">
        <f>[9]STA_SP2_NO!$C$41</f>
        <v>0</v>
      </c>
      <c r="L12" s="390">
        <f>[10]STA_SP2_NO!$C$41</f>
        <v>0</v>
      </c>
      <c r="M12" s="332">
        <f>[11]STA_SP2_NO!$C$41</f>
        <v>0</v>
      </c>
      <c r="N12" s="249">
        <f t="shared" si="0"/>
        <v>1</v>
      </c>
    </row>
    <row r="13" spans="1:15" ht="15.75" thickBot="1" x14ac:dyDescent="0.3">
      <c r="A13" s="36"/>
      <c r="B13" s="37" t="s">
        <v>37</v>
      </c>
      <c r="C13" s="41">
        <f t="shared" ref="C13:F13" si="1">SUM(C5:C12)</f>
        <v>304</v>
      </c>
      <c r="D13" s="39">
        <f t="shared" si="1"/>
        <v>78</v>
      </c>
      <c r="E13" s="41">
        <f t="shared" si="1"/>
        <v>15622</v>
      </c>
      <c r="F13" s="39">
        <f t="shared" si="1"/>
        <v>120</v>
      </c>
      <c r="G13" s="392">
        <f t="shared" ref="G13:M13" si="2">SUM(G5:G12)</f>
        <v>119</v>
      </c>
      <c r="H13" s="39">
        <f t="shared" si="2"/>
        <v>1848</v>
      </c>
      <c r="I13" s="41">
        <f t="shared" si="2"/>
        <v>302</v>
      </c>
      <c r="J13" s="39">
        <f t="shared" si="2"/>
        <v>51</v>
      </c>
      <c r="K13" s="41">
        <f t="shared" si="2"/>
        <v>1795</v>
      </c>
      <c r="L13" s="380">
        <f t="shared" si="2"/>
        <v>60</v>
      </c>
      <c r="M13" s="333">
        <f t="shared" si="2"/>
        <v>317</v>
      </c>
      <c r="N13" s="250">
        <f t="shared" si="0"/>
        <v>20616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448" t="s">
        <v>53</v>
      </c>
      <c r="B15" s="520"/>
      <c r="C15" s="55">
        <f>C13/N13</f>
        <v>1.4745828482731859E-2</v>
      </c>
      <c r="D15" s="56">
        <f>D13/N13</f>
        <v>3.7834691501746217E-3</v>
      </c>
      <c r="E15" s="48">
        <f>E13/N13</f>
        <v>0.75776096235933255</v>
      </c>
      <c r="F15" s="47">
        <f>F13/N13</f>
        <v>5.8207217694994182E-3</v>
      </c>
      <c r="G15" s="70">
        <f>G13/N13</f>
        <v>5.7722157547535893E-3</v>
      </c>
      <c r="H15" s="47">
        <f>H13/N13</f>
        <v>8.9639115250291029E-2</v>
      </c>
      <c r="I15" s="70">
        <f>I13/N13</f>
        <v>1.4648816453240203E-2</v>
      </c>
      <c r="J15" s="47">
        <f>J13/N13</f>
        <v>2.4738067520372526E-3</v>
      </c>
      <c r="K15" s="70">
        <f>K13/N13</f>
        <v>8.706829646876213E-2</v>
      </c>
      <c r="L15" s="389">
        <f>L13/N13</f>
        <v>2.9103608847497091E-3</v>
      </c>
      <c r="M15" s="342">
        <f>M13/N13</f>
        <v>1.5376406674427629E-2</v>
      </c>
      <c r="N15" s="258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A17" s="26"/>
      <c r="B17" s="26"/>
      <c r="C17" s="460" t="s">
        <v>109</v>
      </c>
      <c r="D17" s="461"/>
      <c r="E17" s="461"/>
      <c r="F17" s="461"/>
      <c r="G17" s="461"/>
      <c r="H17" s="461"/>
      <c r="I17" s="461"/>
      <c r="J17" s="462"/>
      <c r="K17" s="462"/>
      <c r="L17" s="26"/>
      <c r="M17" s="26"/>
      <c r="N17" s="155" t="s">
        <v>36</v>
      </c>
    </row>
    <row r="18" spans="1:14" ht="15.75" thickBot="1" x14ac:dyDescent="0.3">
      <c r="A18" s="463" t="s">
        <v>0</v>
      </c>
      <c r="B18" s="525" t="s">
        <v>1</v>
      </c>
      <c r="C18" s="377" t="s">
        <v>2</v>
      </c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490" t="s">
        <v>3</v>
      </c>
    </row>
    <row r="19" spans="1:14" x14ac:dyDescent="0.25">
      <c r="A19" s="503"/>
      <c r="B19" s="504"/>
      <c r="C19" s="524" t="s">
        <v>69</v>
      </c>
      <c r="D19" s="465" t="s">
        <v>4</v>
      </c>
      <c r="E19" s="497" t="s">
        <v>5</v>
      </c>
      <c r="F19" s="465" t="s">
        <v>6</v>
      </c>
      <c r="G19" s="497" t="s">
        <v>8</v>
      </c>
      <c r="H19" s="465" t="s">
        <v>94</v>
      </c>
      <c r="I19" s="497" t="s">
        <v>9</v>
      </c>
      <c r="J19" s="507" t="s">
        <v>10</v>
      </c>
      <c r="K19" s="497" t="s">
        <v>93</v>
      </c>
      <c r="L19" s="465" t="s">
        <v>11</v>
      </c>
      <c r="M19" s="516" t="s">
        <v>96</v>
      </c>
      <c r="N19" s="491"/>
    </row>
    <row r="20" spans="1:14" ht="15.75" thickBot="1" x14ac:dyDescent="0.3">
      <c r="A20" s="498"/>
      <c r="B20" s="505"/>
      <c r="C20" s="512"/>
      <c r="D20" s="498"/>
      <c r="E20" s="498"/>
      <c r="F20" s="498"/>
      <c r="G20" s="506"/>
      <c r="H20" s="466"/>
      <c r="I20" s="506"/>
      <c r="J20" s="508"/>
      <c r="K20" s="506"/>
      <c r="L20" s="466"/>
      <c r="M20" s="518"/>
      <c r="N20" s="492"/>
    </row>
    <row r="21" spans="1:14" x14ac:dyDescent="0.25">
      <c r="A21" s="30">
        <v>1</v>
      </c>
      <c r="B21" s="31" t="s">
        <v>39</v>
      </c>
      <c r="C21" s="62">
        <f>[1]STA_SP2_NO!$D$34</f>
        <v>1578.19</v>
      </c>
      <c r="D21" s="118">
        <f>[2]STA_SP2_NO!$D$34</f>
        <v>651.28</v>
      </c>
      <c r="E21" s="62">
        <f>[3]STA_SP2_NO!$D$34</f>
        <v>48967</v>
      </c>
      <c r="F21" s="118">
        <f>[4]STA_SP2_NO!$D$34</f>
        <v>705.9</v>
      </c>
      <c r="G21" s="391">
        <f>[5]STA_SP2_NO!$D$34</f>
        <v>748</v>
      </c>
      <c r="H21" s="54">
        <f>[6]STA_SP2_NO!$D$34</f>
        <v>6978.23</v>
      </c>
      <c r="I21" s="61">
        <f>[7]STA_SP2_NO!$D$34</f>
        <v>1944</v>
      </c>
      <c r="J21" s="54">
        <f>[8]STA_SP2_NO!$D$34</f>
        <v>378</v>
      </c>
      <c r="K21" s="61">
        <f>[9]STA_SP2_NO!$D$34</f>
        <v>4912.92</v>
      </c>
      <c r="L21" s="390">
        <f>[10]STA_SP2_NO!$D$34</f>
        <v>430</v>
      </c>
      <c r="M21" s="393">
        <f>[11]STA_SP2_NO!$D$34</f>
        <v>788.43</v>
      </c>
      <c r="N21" s="249">
        <f t="shared" ref="N21:N29" si="3">SUM(C21:M21)</f>
        <v>68081.95</v>
      </c>
    </row>
    <row r="22" spans="1:14" x14ac:dyDescent="0.25">
      <c r="A22" s="32">
        <v>2</v>
      </c>
      <c r="B22" s="33" t="s">
        <v>40</v>
      </c>
      <c r="C22" s="62">
        <f>[1]STA_SP2_NO!$D$35</f>
        <v>142.12</v>
      </c>
      <c r="D22" s="118">
        <f>[2]STA_SP2_NO!$D$35</f>
        <v>14.14</v>
      </c>
      <c r="E22" s="62">
        <f>[3]STA_SP2_NO!$D$35</f>
        <v>1694</v>
      </c>
      <c r="F22" s="118">
        <f>[4]STA_SP2_NO!$D$35</f>
        <v>22.15</v>
      </c>
      <c r="G22" s="391">
        <f>[5]STA_SP2_NO!$D$35</f>
        <v>14</v>
      </c>
      <c r="H22" s="54">
        <f>[6]STA_SP2_NO!$D$35</f>
        <v>0</v>
      </c>
      <c r="I22" s="61">
        <f>[7]STA_SP2_NO!$D$35</f>
        <v>0</v>
      </c>
      <c r="J22" s="54">
        <f>[8]STA_SP2_NO!$D$35</f>
        <v>0</v>
      </c>
      <c r="K22" s="61">
        <f>[9]STA_SP2_NO!$D$35</f>
        <v>158.34</v>
      </c>
      <c r="L22" s="390">
        <f>[10]STA_SP2_NO!$D$35</f>
        <v>44</v>
      </c>
      <c r="M22" s="393">
        <f>[11]STA_SP2_NO!$D$35</f>
        <v>0</v>
      </c>
      <c r="N22" s="249">
        <f t="shared" si="3"/>
        <v>2088.75</v>
      </c>
    </row>
    <row r="23" spans="1:14" x14ac:dyDescent="0.25">
      <c r="A23" s="32">
        <v>3</v>
      </c>
      <c r="B23" s="33" t="s">
        <v>41</v>
      </c>
      <c r="C23" s="62">
        <f>[1]STA_SP2_NO!$D$36</f>
        <v>17.89</v>
      </c>
      <c r="D23" s="118">
        <f>[2]STA_SP2_NO!$D$36</f>
        <v>0</v>
      </c>
      <c r="E23" s="62">
        <f>[3]STA_SP2_NO!$D$36</f>
        <v>219</v>
      </c>
      <c r="F23" s="118">
        <f>[4]STA_SP2_NO!$D$36</f>
        <v>0</v>
      </c>
      <c r="G23" s="391">
        <f>[5]STA_SP2_NO!$D$36</f>
        <v>0</v>
      </c>
      <c r="H23" s="54">
        <f>[6]STA_SP2_NO!$D$36</f>
        <v>0</v>
      </c>
      <c r="I23" s="61">
        <f>[7]STA_SP2_NO!$D$36</f>
        <v>0</v>
      </c>
      <c r="J23" s="54">
        <f>[8]STA_SP2_NO!$D$36</f>
        <v>0</v>
      </c>
      <c r="K23" s="61">
        <f>[9]STA_SP2_NO!$D$36</f>
        <v>35.72</v>
      </c>
      <c r="L23" s="390">
        <f>[10]STA_SP2_NO!$D$36</f>
        <v>0</v>
      </c>
      <c r="M23" s="393">
        <f>[11]STA_SP2_NO!$D$36</f>
        <v>0</v>
      </c>
      <c r="N23" s="249">
        <f t="shared" si="3"/>
        <v>272.61</v>
      </c>
    </row>
    <row r="24" spans="1:14" x14ac:dyDescent="0.25">
      <c r="A24" s="32">
        <v>4</v>
      </c>
      <c r="B24" s="33" t="s">
        <v>42</v>
      </c>
      <c r="C24" s="62">
        <f>[1]STA_SP2_NO!$D$37</f>
        <v>4.92</v>
      </c>
      <c r="D24" s="118">
        <f>[2]STA_SP2_NO!$D$37</f>
        <v>0</v>
      </c>
      <c r="E24" s="62">
        <f>[3]STA_SP2_NO!$D$37</f>
        <v>0</v>
      </c>
      <c r="F24" s="118">
        <f>[4]STA_SP2_NO!$D$37</f>
        <v>1.23</v>
      </c>
      <c r="G24" s="391">
        <f>[5]STA_SP2_NO!$D$37</f>
        <v>0</v>
      </c>
      <c r="H24" s="54">
        <f>[6]STA_SP2_NO!$D$37</f>
        <v>0</v>
      </c>
      <c r="I24" s="61">
        <f>[7]STA_SP2_NO!$D$37</f>
        <v>0</v>
      </c>
      <c r="J24" s="54">
        <f>[8]STA_SP2_NO!$D$37</f>
        <v>0</v>
      </c>
      <c r="K24" s="61">
        <f>[9]STA_SP2_NO!$D$37</f>
        <v>0</v>
      </c>
      <c r="L24" s="390">
        <f>[10]STA_SP2_NO!$D$37</f>
        <v>0</v>
      </c>
      <c r="M24" s="393">
        <f>[11]STA_SP2_NO!$D$37</f>
        <v>0.62</v>
      </c>
      <c r="N24" s="249">
        <f t="shared" si="3"/>
        <v>6.7700000000000005</v>
      </c>
    </row>
    <row r="25" spans="1:14" x14ac:dyDescent="0.25">
      <c r="A25" s="32">
        <v>5</v>
      </c>
      <c r="B25" s="33" t="s">
        <v>43</v>
      </c>
      <c r="C25" s="62">
        <f>[1]STA_SP2_NO!$D$38</f>
        <v>0</v>
      </c>
      <c r="D25" s="118">
        <f>[2]STA_SP2_NO!$D$38</f>
        <v>0</v>
      </c>
      <c r="E25" s="62">
        <f>[3]STA_SP2_NO!$D$38</f>
        <v>70</v>
      </c>
      <c r="F25" s="118">
        <f>[4]STA_SP2_NO!$D$38</f>
        <v>0</v>
      </c>
      <c r="G25" s="391">
        <f>[5]STA_SP2_NO!$D$38</f>
        <v>0</v>
      </c>
      <c r="H25" s="54">
        <f>[6]STA_SP2_NO!$D$38</f>
        <v>0</v>
      </c>
      <c r="I25" s="61">
        <f>[7]STA_SP2_NO!$D$38</f>
        <v>0</v>
      </c>
      <c r="J25" s="54">
        <f>[8]STA_SP2_NO!$D$38</f>
        <v>0</v>
      </c>
      <c r="K25" s="61">
        <f>[9]STA_SP2_NO!$D$38</f>
        <v>7.39</v>
      </c>
      <c r="L25" s="390">
        <f>[10]STA_SP2_NO!$D$38</f>
        <v>0</v>
      </c>
      <c r="M25" s="393">
        <f>[11]STA_SP2_NO!$D$38</f>
        <v>0</v>
      </c>
      <c r="N25" s="249">
        <f t="shared" si="3"/>
        <v>77.39</v>
      </c>
    </row>
    <row r="26" spans="1:14" x14ac:dyDescent="0.25">
      <c r="A26" s="32">
        <v>6</v>
      </c>
      <c r="B26" s="33" t="s">
        <v>44</v>
      </c>
      <c r="C26" s="62">
        <f>[1]STA_SP2_NO!$D$39</f>
        <v>30.8</v>
      </c>
      <c r="D26" s="118">
        <f>[2]STA_SP2_NO!$D$39</f>
        <v>16.600000000000001</v>
      </c>
      <c r="E26" s="62">
        <f>[3]STA_SP2_NO!$D$39</f>
        <v>59</v>
      </c>
      <c r="F26" s="118">
        <f>[4]STA_SP2_NO!$D$39</f>
        <v>9.8699999999999992</v>
      </c>
      <c r="G26" s="391">
        <f>[5]STA_SP2_NO!$D$39</f>
        <v>30</v>
      </c>
      <c r="H26" s="54">
        <f>[6]STA_SP2_NO!$D$39</f>
        <v>0</v>
      </c>
      <c r="I26" s="61">
        <f>[7]STA_SP2_NO!$D$39</f>
        <v>0</v>
      </c>
      <c r="J26" s="54">
        <f>[8]STA_SP2_NO!$D$39</f>
        <v>0</v>
      </c>
      <c r="K26" s="61">
        <f>[9]STA_SP2_NO!$D$39</f>
        <v>583.66</v>
      </c>
      <c r="L26" s="390">
        <f>[10]STA_SP2_NO!$D$39</f>
        <v>30</v>
      </c>
      <c r="M26" s="393">
        <f>[11]STA_SP2_NO!$D$39</f>
        <v>178.35</v>
      </c>
      <c r="N26" s="249">
        <f t="shared" si="3"/>
        <v>938.28</v>
      </c>
    </row>
    <row r="27" spans="1:14" x14ac:dyDescent="0.25">
      <c r="A27" s="32">
        <v>7</v>
      </c>
      <c r="B27" s="33" t="s">
        <v>45</v>
      </c>
      <c r="C27" s="62">
        <f>[1]STA_SP2_NO!$D$40</f>
        <v>14.47</v>
      </c>
      <c r="D27" s="118">
        <f>[2]STA_SP2_NO!$D$40</f>
        <v>0</v>
      </c>
      <c r="E27" s="62">
        <f>[3]STA_SP2_NO!$D$40</f>
        <v>26</v>
      </c>
      <c r="F27" s="118">
        <f>[4]STA_SP2_NO!$D$40</f>
        <v>4.62</v>
      </c>
      <c r="G27" s="391">
        <f>[5]STA_SP2_NO!$D$40</f>
        <v>2</v>
      </c>
      <c r="H27" s="54">
        <f>[6]STA_SP2_NO!$D$40</f>
        <v>0</v>
      </c>
      <c r="I27" s="61">
        <f>[7]STA_SP2_NO!$D$40</f>
        <v>0</v>
      </c>
      <c r="J27" s="54">
        <f>[8]STA_SP2_NO!$D$40</f>
        <v>5</v>
      </c>
      <c r="K27" s="61">
        <f>[9]STA_SP2_NO!$D$40</f>
        <v>357.49</v>
      </c>
      <c r="L27" s="390">
        <f>[10]STA_SP2_NO!$D$40</f>
        <v>6</v>
      </c>
      <c r="M27" s="393">
        <f>[11]STA_SP2_NO!$D$40</f>
        <v>6.15</v>
      </c>
      <c r="N27" s="249">
        <f t="shared" si="3"/>
        <v>421.72999999999996</v>
      </c>
    </row>
    <row r="28" spans="1:14" ht="15.75" thickBot="1" x14ac:dyDescent="0.3">
      <c r="A28" s="34">
        <v>8</v>
      </c>
      <c r="B28" s="35" t="s">
        <v>46</v>
      </c>
      <c r="C28" s="62">
        <f>[1]STA_SP2_NO!$D$41</f>
        <v>0</v>
      </c>
      <c r="D28" s="118">
        <f>[2]STA_SP2_NO!$D$41</f>
        <v>0</v>
      </c>
      <c r="E28" s="62">
        <f>[3]STA_SP2_NO!$D$41</f>
        <v>14</v>
      </c>
      <c r="F28" s="118">
        <f>[4]STA_SP2_NO!$D$41</f>
        <v>0</v>
      </c>
      <c r="G28" s="391">
        <f>[5]STA_SP2_NO!$D$41</f>
        <v>0</v>
      </c>
      <c r="H28" s="54">
        <f>[6]STA_SP2_NO!$D$41</f>
        <v>0</v>
      </c>
      <c r="I28" s="61">
        <f>[7]STA_SP2_NO!$D$41</f>
        <v>0</v>
      </c>
      <c r="J28" s="54">
        <f>[8]STA_SP2_NO!$D$41</f>
        <v>0</v>
      </c>
      <c r="K28" s="61">
        <f>[9]STA_SP2_NO!$D$41</f>
        <v>0</v>
      </c>
      <c r="L28" s="390">
        <f>[10]STA_SP2_NO!$D$41</f>
        <v>0</v>
      </c>
      <c r="M28" s="393">
        <f>[11]STA_SP2_NO!$D$41</f>
        <v>0</v>
      </c>
      <c r="N28" s="249">
        <f t="shared" si="3"/>
        <v>14</v>
      </c>
    </row>
    <row r="29" spans="1:14" ht="15.75" thickBot="1" x14ac:dyDescent="0.3">
      <c r="A29" s="36"/>
      <c r="B29" s="37" t="s">
        <v>37</v>
      </c>
      <c r="C29" s="41">
        <f t="shared" ref="C29:F29" si="4">SUM(C21:C28)</f>
        <v>1788.39</v>
      </c>
      <c r="D29" s="51">
        <f>SUM(D21:D28)</f>
        <v>682.02</v>
      </c>
      <c r="E29" s="41">
        <f t="shared" si="4"/>
        <v>51049</v>
      </c>
      <c r="F29" s="39">
        <f t="shared" si="4"/>
        <v>743.77</v>
      </c>
      <c r="G29" s="392">
        <f t="shared" ref="G29:M29" si="5">SUM(G21:G28)</f>
        <v>794</v>
      </c>
      <c r="H29" s="39">
        <f t="shared" si="5"/>
        <v>6978.23</v>
      </c>
      <c r="I29" s="41">
        <f t="shared" si="5"/>
        <v>1944</v>
      </c>
      <c r="J29" s="39">
        <f t="shared" si="5"/>
        <v>383</v>
      </c>
      <c r="K29" s="41">
        <f t="shared" si="5"/>
        <v>6055.52</v>
      </c>
      <c r="L29" s="380">
        <f t="shared" si="5"/>
        <v>510</v>
      </c>
      <c r="M29" s="333">
        <f t="shared" si="5"/>
        <v>973.55</v>
      </c>
      <c r="N29" s="250">
        <f t="shared" si="3"/>
        <v>71901.48000000001</v>
      </c>
    </row>
    <row r="30" spans="1:14" ht="15.75" thickBot="1" x14ac:dyDescent="0.3">
      <c r="A30" s="1"/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8"/>
      <c r="N30" s="1"/>
    </row>
    <row r="31" spans="1:14" ht="15.75" thickBot="1" x14ac:dyDescent="0.3">
      <c r="A31" s="448" t="s">
        <v>53</v>
      </c>
      <c r="B31" s="520"/>
      <c r="C31" s="55">
        <f>C29/N29</f>
        <v>2.4872784259795486E-2</v>
      </c>
      <c r="D31" s="56">
        <f>D29/N29</f>
        <v>9.4854792975054177E-3</v>
      </c>
      <c r="E31" s="48">
        <f>E29/N29</f>
        <v>0.70998538555812751</v>
      </c>
      <c r="F31" s="47">
        <f>F29/N29</f>
        <v>1.0344293330262462E-2</v>
      </c>
      <c r="G31" s="70">
        <f>G29/N29</f>
        <v>1.1042888129701918E-2</v>
      </c>
      <c r="H31" s="47">
        <f>H29/N29</f>
        <v>9.7052661502934276E-2</v>
      </c>
      <c r="I31" s="70">
        <f>I29/N29</f>
        <v>2.7036995622343237E-2</v>
      </c>
      <c r="J31" s="47">
        <f>J29/N29</f>
        <v>5.3267331910274995E-3</v>
      </c>
      <c r="K31" s="70">
        <f>K29/N29</f>
        <v>8.4219685046816831E-2</v>
      </c>
      <c r="L31" s="389">
        <f>L29/N29</f>
        <v>7.0930389749974537E-3</v>
      </c>
      <c r="M31" s="342">
        <f>M29/N29</f>
        <v>1.3540055086487786E-2</v>
      </c>
      <c r="N31" s="258">
        <f>SUM(C31:M31)</f>
        <v>0.99999999999999978</v>
      </c>
    </row>
  </sheetData>
  <mergeCells count="33">
    <mergeCell ref="A31:B31"/>
    <mergeCell ref="F19:F20"/>
    <mergeCell ref="A15:B15"/>
    <mergeCell ref="C17:K17"/>
    <mergeCell ref="A18:A20"/>
    <mergeCell ref="B18:B20"/>
    <mergeCell ref="C19:C20"/>
    <mergeCell ref="D19:D20"/>
    <mergeCell ref="E19:E20"/>
    <mergeCell ref="K19:K20"/>
    <mergeCell ref="C1:K1"/>
    <mergeCell ref="A2:A4"/>
    <mergeCell ref="B2:B4"/>
    <mergeCell ref="H3:H4"/>
    <mergeCell ref="I3:I4"/>
    <mergeCell ref="J3:J4"/>
    <mergeCell ref="K3:K4"/>
    <mergeCell ref="N18:N20"/>
    <mergeCell ref="L19:L20"/>
    <mergeCell ref="C2:M2"/>
    <mergeCell ref="M3:M4"/>
    <mergeCell ref="M19:M20"/>
    <mergeCell ref="G19:G20"/>
    <mergeCell ref="H19:H20"/>
    <mergeCell ref="I19:I20"/>
    <mergeCell ref="J19:J20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L25" sqref="L25"/>
    </sheetView>
  </sheetViews>
  <sheetFormatPr defaultRowHeight="15" x14ac:dyDescent="0.25"/>
  <cols>
    <col min="1" max="1" width="4.5703125" customWidth="1"/>
    <col min="2" max="2" width="26.7109375" customWidth="1"/>
  </cols>
  <sheetData>
    <row r="1" spans="1:14" ht="24.75" customHeight="1" thickBot="1" x14ac:dyDescent="0.3">
      <c r="A1" s="120"/>
      <c r="B1" s="120"/>
      <c r="C1" s="460" t="s">
        <v>110</v>
      </c>
      <c r="D1" s="461"/>
      <c r="E1" s="461"/>
      <c r="F1" s="461"/>
      <c r="G1" s="461"/>
      <c r="H1" s="461"/>
      <c r="I1" s="461"/>
      <c r="J1" s="535"/>
      <c r="K1" s="535"/>
      <c r="L1" s="120"/>
      <c r="M1" s="120"/>
      <c r="N1" s="121"/>
    </row>
    <row r="2" spans="1:14" ht="15.75" thickBot="1" x14ac:dyDescent="0.3">
      <c r="A2" s="463" t="s">
        <v>0</v>
      </c>
      <c r="B2" s="525" t="s">
        <v>1</v>
      </c>
      <c r="C2" s="377" t="s">
        <v>2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528" t="s">
        <v>3</v>
      </c>
    </row>
    <row r="3" spans="1:14" ht="15" customHeight="1" x14ac:dyDescent="0.25">
      <c r="A3" s="503"/>
      <c r="B3" s="504"/>
      <c r="C3" s="531" t="s">
        <v>69</v>
      </c>
      <c r="D3" s="532" t="s">
        <v>4</v>
      </c>
      <c r="E3" s="514" t="s">
        <v>5</v>
      </c>
      <c r="F3" s="465" t="s">
        <v>6</v>
      </c>
      <c r="G3" s="499" t="s">
        <v>8</v>
      </c>
      <c r="H3" s="465" t="s">
        <v>94</v>
      </c>
      <c r="I3" s="497" t="s">
        <v>9</v>
      </c>
      <c r="J3" s="521" t="s">
        <v>38</v>
      </c>
      <c r="K3" s="497" t="s">
        <v>93</v>
      </c>
      <c r="L3" s="465" t="s">
        <v>11</v>
      </c>
      <c r="M3" s="526" t="s">
        <v>96</v>
      </c>
      <c r="N3" s="529"/>
    </row>
    <row r="4" spans="1:14" ht="15.75" thickBot="1" x14ac:dyDescent="0.3">
      <c r="A4" s="498"/>
      <c r="B4" s="505"/>
      <c r="C4" s="494"/>
      <c r="D4" s="496"/>
      <c r="E4" s="498"/>
      <c r="F4" s="498"/>
      <c r="G4" s="500"/>
      <c r="H4" s="466"/>
      <c r="I4" s="506"/>
      <c r="J4" s="523"/>
      <c r="K4" s="506"/>
      <c r="L4" s="466"/>
      <c r="M4" s="527"/>
      <c r="N4" s="530"/>
    </row>
    <row r="5" spans="1:14" ht="15.75" thickBot="1" x14ac:dyDescent="0.3">
      <c r="A5" s="30">
        <v>1</v>
      </c>
      <c r="B5" s="31" t="s">
        <v>39</v>
      </c>
      <c r="C5" s="117">
        <f>[1]STA_SP2_NO!$J$11</f>
        <v>2210</v>
      </c>
      <c r="D5" s="68">
        <f>[2]STA_SP2_NO!$J$11</f>
        <v>986</v>
      </c>
      <c r="E5" s="117">
        <f>[3]STA_SP2_NO!$J$11</f>
        <v>795</v>
      </c>
      <c r="F5" s="118">
        <f>[4]STA_SP2_NO!$J$11</f>
        <v>989</v>
      </c>
      <c r="G5" s="385">
        <f>[5]STA_SP2_NO!$J$11</f>
        <v>978</v>
      </c>
      <c r="H5" s="126">
        <f>[6]STA_SP2_NO!$J$11</f>
        <v>1823</v>
      </c>
      <c r="I5" s="143">
        <f>[7]STA_SP2_NO!$J$11</f>
        <v>2256</v>
      </c>
      <c r="J5" s="126">
        <f>[8]STA_SP2_NO!$J$11</f>
        <v>1125</v>
      </c>
      <c r="K5" s="143">
        <f>[9]STA_SP2_NO!$J$11</f>
        <v>862</v>
      </c>
      <c r="L5" s="379">
        <f>[10]STA_SP2_NO!$J$11</f>
        <v>1279</v>
      </c>
      <c r="M5" s="394">
        <f>[11]STA_SP2_NO!$J$11</f>
        <v>91</v>
      </c>
      <c r="N5" s="397">
        <f t="shared" ref="N5:N18" si="0">SUM(C5:M5)</f>
        <v>13394</v>
      </c>
    </row>
    <row r="6" spans="1:14" ht="15.75" thickBot="1" x14ac:dyDescent="0.3">
      <c r="A6" s="32">
        <v>2</v>
      </c>
      <c r="B6" s="33" t="s">
        <v>40</v>
      </c>
      <c r="C6" s="117">
        <f>[1]STA_SP2_NO!$J$12</f>
        <v>262</v>
      </c>
      <c r="D6" s="68">
        <f>[2]STA_SP2_NO!$J$12</f>
        <v>156</v>
      </c>
      <c r="E6" s="117">
        <f>[3]STA_SP2_NO!$J$12</f>
        <v>107</v>
      </c>
      <c r="F6" s="118">
        <f>[4]STA_SP2_NO!$J$12</f>
        <v>180</v>
      </c>
      <c r="G6" s="385">
        <f>[5]STA_SP2_NO!$J$12</f>
        <v>130</v>
      </c>
      <c r="H6" s="126">
        <f>[6]STA_SP2_NO!$J$12</f>
        <v>133</v>
      </c>
      <c r="I6" s="143">
        <f>[7]STA_SP2_NO!$J$12</f>
        <v>230</v>
      </c>
      <c r="J6" s="126">
        <f>[8]STA_SP2_NO!$J$12</f>
        <v>106</v>
      </c>
      <c r="K6" s="143">
        <f>[9]STA_SP2_NO!$J$12</f>
        <v>83</v>
      </c>
      <c r="L6" s="379">
        <f>[10]STA_SP2_NO!$J$12</f>
        <v>130</v>
      </c>
      <c r="M6" s="394">
        <f>[11]STA_SP2_NO!$J$12</f>
        <v>16</v>
      </c>
      <c r="N6" s="397">
        <f t="shared" si="0"/>
        <v>1533</v>
      </c>
    </row>
    <row r="7" spans="1:14" ht="15.75" thickBot="1" x14ac:dyDescent="0.3">
      <c r="A7" s="32">
        <v>3</v>
      </c>
      <c r="B7" s="33" t="s">
        <v>41</v>
      </c>
      <c r="C7" s="117">
        <f>[1]STA_SP2_NO!$J$13</f>
        <v>17</v>
      </c>
      <c r="D7" s="68">
        <f>[2]STA_SP2_NO!$J$13</f>
        <v>11</v>
      </c>
      <c r="E7" s="117">
        <f>[3]STA_SP2_NO!$J$13</f>
        <v>3</v>
      </c>
      <c r="F7" s="118">
        <f>[4]STA_SP2_NO!$J$13</f>
        <v>16</v>
      </c>
      <c r="G7" s="385">
        <f>[5]STA_SP2_NO!$J$13</f>
        <v>7</v>
      </c>
      <c r="H7" s="126">
        <f>[6]STA_SP2_NO!$J$13</f>
        <v>24</v>
      </c>
      <c r="I7" s="143">
        <f>[7]STA_SP2_NO!$J$13</f>
        <v>51</v>
      </c>
      <c r="J7" s="126">
        <f>[8]STA_SP2_NO!$J$13</f>
        <v>17</v>
      </c>
      <c r="K7" s="143">
        <f>[9]STA_SP2_NO!$J$13</f>
        <v>6</v>
      </c>
      <c r="L7" s="379">
        <f>[10]STA_SP2_NO!$J$13</f>
        <v>3</v>
      </c>
      <c r="M7" s="394">
        <f>[11]STA_SP2_NO!$J$13</f>
        <v>1</v>
      </c>
      <c r="N7" s="397">
        <f t="shared" si="0"/>
        <v>156</v>
      </c>
    </row>
    <row r="8" spans="1:14" ht="15.75" thickBot="1" x14ac:dyDescent="0.3">
      <c r="A8" s="32">
        <v>4</v>
      </c>
      <c r="B8" s="33" t="s">
        <v>42</v>
      </c>
      <c r="C8" s="117">
        <f>[1]STA_SP2_NO!$J$14</f>
        <v>9</v>
      </c>
      <c r="D8" s="68">
        <f>[2]STA_SP2_NO!$J$14</f>
        <v>2</v>
      </c>
      <c r="E8" s="117">
        <f>[3]STA_SP2_NO!$J$14</f>
        <v>2</v>
      </c>
      <c r="F8" s="118">
        <f>[4]STA_SP2_NO!$J$14</f>
        <v>7</v>
      </c>
      <c r="G8" s="385">
        <f>[5]STA_SP2_NO!$J$14</f>
        <v>3</v>
      </c>
      <c r="H8" s="126">
        <f>[6]STA_SP2_NO!$J$14</f>
        <v>4</v>
      </c>
      <c r="I8" s="143">
        <f>[7]STA_SP2_NO!$J$14</f>
        <v>4</v>
      </c>
      <c r="J8" s="126">
        <f>[8]STA_SP2_NO!$J$14</f>
        <v>5</v>
      </c>
      <c r="K8" s="143">
        <f>[9]STA_SP2_NO!$J$14</f>
        <v>1</v>
      </c>
      <c r="L8" s="379">
        <f>[10]STA_SP2_NO!$J$14</f>
        <v>3</v>
      </c>
      <c r="M8" s="394">
        <f>[11]STA_SP2_NO!$J$14</f>
        <v>0</v>
      </c>
      <c r="N8" s="397">
        <f t="shared" si="0"/>
        <v>40</v>
      </c>
    </row>
    <row r="9" spans="1:14" ht="15.75" thickBot="1" x14ac:dyDescent="0.3">
      <c r="A9" s="32">
        <v>5</v>
      </c>
      <c r="B9" s="33" t="s">
        <v>43</v>
      </c>
      <c r="C9" s="117">
        <f>[1]STA_SP2_NO!$J$15</f>
        <v>2</v>
      </c>
      <c r="D9" s="68">
        <f>[2]STA_SP2_NO!$J$15</f>
        <v>0</v>
      </c>
      <c r="E9" s="117">
        <f>[3]STA_SP2_NO!$J$15</f>
        <v>1</v>
      </c>
      <c r="F9" s="118">
        <f>[4]STA_SP2_NO!$J$15</f>
        <v>2</v>
      </c>
      <c r="G9" s="385">
        <f>[5]STA_SP2_NO!$J$15</f>
        <v>0</v>
      </c>
      <c r="H9" s="126">
        <f>[6]STA_SP2_NO!$J$15</f>
        <v>3</v>
      </c>
      <c r="I9" s="143">
        <f>[7]STA_SP2_NO!$J$15</f>
        <v>0</v>
      </c>
      <c r="J9" s="126">
        <f>[8]STA_SP2_NO!$J$15</f>
        <v>9</v>
      </c>
      <c r="K9" s="143">
        <f>[9]STA_SP2_NO!$J$15</f>
        <v>0</v>
      </c>
      <c r="L9" s="379">
        <f>[10]STA_SP2_NO!$J$15</f>
        <v>0</v>
      </c>
      <c r="M9" s="394">
        <f>[11]STA_SP2_NO!$J$15</f>
        <v>0</v>
      </c>
      <c r="N9" s="397">
        <f t="shared" si="0"/>
        <v>17</v>
      </c>
    </row>
    <row r="10" spans="1:14" ht="15.75" thickBot="1" x14ac:dyDescent="0.3">
      <c r="A10" s="32">
        <v>6</v>
      </c>
      <c r="B10" s="33" t="s">
        <v>44</v>
      </c>
      <c r="C10" s="117">
        <f>[1]STA_SP2_NO!$J$16</f>
        <v>26</v>
      </c>
      <c r="D10" s="68">
        <f>[2]STA_SP2_NO!$J$16</f>
        <v>9</v>
      </c>
      <c r="E10" s="117">
        <f>[3]STA_SP2_NO!$J$16</f>
        <v>4</v>
      </c>
      <c r="F10" s="118">
        <f>[4]STA_SP2_NO!$J$16</f>
        <v>2</v>
      </c>
      <c r="G10" s="385">
        <f>[5]STA_SP2_NO!$J$16</f>
        <v>2</v>
      </c>
      <c r="H10" s="126">
        <f>[6]STA_SP2_NO!$J$16</f>
        <v>32</v>
      </c>
      <c r="I10" s="143">
        <f>[7]STA_SP2_NO!$J$16</f>
        <v>22</v>
      </c>
      <c r="J10" s="126">
        <f>[8]STA_SP2_NO!$J$16</f>
        <v>13</v>
      </c>
      <c r="K10" s="143">
        <f>[9]STA_SP2_NO!$J$16</f>
        <v>8</v>
      </c>
      <c r="L10" s="379">
        <f>[10]STA_SP2_NO!$J$16</f>
        <v>26</v>
      </c>
      <c r="M10" s="394">
        <f>[11]STA_SP2_NO!$J$16</f>
        <v>0</v>
      </c>
      <c r="N10" s="397">
        <f t="shared" si="0"/>
        <v>144</v>
      </c>
    </row>
    <row r="11" spans="1:14" ht="15.75" thickBot="1" x14ac:dyDescent="0.3">
      <c r="A11" s="32">
        <v>7</v>
      </c>
      <c r="B11" s="33" t="s">
        <v>45</v>
      </c>
      <c r="C11" s="117">
        <f>[1]STA_SP2_NO!$J$17</f>
        <v>0</v>
      </c>
      <c r="D11" s="68">
        <f>[2]STA_SP2_NO!$J$17</f>
        <v>2</v>
      </c>
      <c r="E11" s="117">
        <f>[3]STA_SP2_NO!$J$17</f>
        <v>0</v>
      </c>
      <c r="F11" s="118">
        <f>[4]STA_SP2_NO!$J$17</f>
        <v>0</v>
      </c>
      <c r="G11" s="385">
        <f>[5]STA_SP2_NO!$J$17</f>
        <v>0</v>
      </c>
      <c r="H11" s="126">
        <f>[6]STA_SP2_NO!$J$17</f>
        <v>2</v>
      </c>
      <c r="I11" s="143">
        <f>[7]STA_SP2_NO!$J$17</f>
        <v>2</v>
      </c>
      <c r="J11" s="126">
        <f>[8]STA_SP2_NO!$J$17</f>
        <v>2</v>
      </c>
      <c r="K11" s="143">
        <f>[9]STA_SP2_NO!$J$17</f>
        <v>2</v>
      </c>
      <c r="L11" s="379">
        <f>[10]STA_SP2_NO!$J$17</f>
        <v>1</v>
      </c>
      <c r="M11" s="394">
        <f>[11]STA_SP2_NO!$J$17</f>
        <v>0</v>
      </c>
      <c r="N11" s="397">
        <f t="shared" si="0"/>
        <v>11</v>
      </c>
    </row>
    <row r="12" spans="1:14" ht="15.75" thickBot="1" x14ac:dyDescent="0.3">
      <c r="A12" s="32">
        <v>8</v>
      </c>
      <c r="B12" s="33" t="s">
        <v>46</v>
      </c>
      <c r="C12" s="117">
        <f>[1]STA_SP2_NO!$J$18</f>
        <v>15</v>
      </c>
      <c r="D12" s="68">
        <f>[2]STA_SP2_NO!$J$18</f>
        <v>0</v>
      </c>
      <c r="E12" s="117">
        <f>[3]STA_SP2_NO!$J$18</f>
        <v>30</v>
      </c>
      <c r="F12" s="118">
        <f>[4]STA_SP2_NO!$J$18</f>
        <v>9</v>
      </c>
      <c r="G12" s="385">
        <f>[5]STA_SP2_NO!$J$18</f>
        <v>2</v>
      </c>
      <c r="H12" s="126">
        <f>[6]STA_SP2_NO!$J$18</f>
        <v>0</v>
      </c>
      <c r="I12" s="143">
        <f>[7]STA_SP2_NO!$J$18</f>
        <v>13</v>
      </c>
      <c r="J12" s="126">
        <f>[8]STA_SP2_NO!$J$18</f>
        <v>20</v>
      </c>
      <c r="K12" s="143">
        <f>[9]STA_SP2_NO!$J$18</f>
        <v>0</v>
      </c>
      <c r="L12" s="379">
        <f>[10]STA_SP2_NO!$J$18</f>
        <v>4</v>
      </c>
      <c r="M12" s="394">
        <f>[11]STA_SP2_NO!$J$18</f>
        <v>0</v>
      </c>
      <c r="N12" s="397">
        <f t="shared" si="0"/>
        <v>93</v>
      </c>
    </row>
    <row r="13" spans="1:14" ht="23.25" thickBot="1" x14ac:dyDescent="0.3">
      <c r="A13" s="32">
        <v>9</v>
      </c>
      <c r="B13" s="53" t="s">
        <v>47</v>
      </c>
      <c r="C13" s="117">
        <f>[1]STA_SP2_NO!$J$19</f>
        <v>0</v>
      </c>
      <c r="D13" s="68">
        <f>[2]STA_SP2_NO!$J$19</f>
        <v>0</v>
      </c>
      <c r="E13" s="117">
        <f>[3]STA_SP2_NO!$J$19</f>
        <v>0</v>
      </c>
      <c r="F13" s="118">
        <f>[4]STA_SP2_NO!$J$19</f>
        <v>0</v>
      </c>
      <c r="G13" s="385">
        <f>[5]STA_SP2_NO!$J$19</f>
        <v>0</v>
      </c>
      <c r="H13" s="126">
        <f>[6]STA_SP2_NO!$J$19</f>
        <v>0</v>
      </c>
      <c r="I13" s="143">
        <f>[7]STA_SP2_NO!$J$19</f>
        <v>0</v>
      </c>
      <c r="J13" s="126">
        <f>[8]STA_SP2_NO!$J$19</f>
        <v>0</v>
      </c>
      <c r="K13" s="143">
        <f>[9]STA_SP2_NO!$J$19</f>
        <v>0</v>
      </c>
      <c r="L13" s="379">
        <f>[10]STA_SP2_NO!$J$19</f>
        <v>0</v>
      </c>
      <c r="M13" s="394">
        <f>[11]STA_SP2_NO!$J$19</f>
        <v>0</v>
      </c>
      <c r="N13" s="397">
        <f t="shared" si="0"/>
        <v>0</v>
      </c>
    </row>
    <row r="14" spans="1:14" ht="27" customHeight="1" thickBot="1" x14ac:dyDescent="0.3">
      <c r="A14" s="32">
        <v>10</v>
      </c>
      <c r="B14" s="53" t="s">
        <v>48</v>
      </c>
      <c r="C14" s="117">
        <f>[1]STA_SP2_NO!$J$20</f>
        <v>0</v>
      </c>
      <c r="D14" s="68">
        <f>[2]STA_SP2_NO!$J$20</f>
        <v>0</v>
      </c>
      <c r="E14" s="117">
        <f>[3]STA_SP2_NO!$J$20</f>
        <v>0</v>
      </c>
      <c r="F14" s="118">
        <f>[4]STA_SP2_NO!$J$20</f>
        <v>0</v>
      </c>
      <c r="G14" s="385">
        <f>[5]STA_SP2_NO!$J$20</f>
        <v>0</v>
      </c>
      <c r="H14" s="126">
        <f>[6]STA_SP2_NO!$J$20</f>
        <v>0</v>
      </c>
      <c r="I14" s="143">
        <f>[7]STA_SP2_NO!$J$20</f>
        <v>0</v>
      </c>
      <c r="J14" s="126">
        <f>[8]STA_SP2_NO!$J$20</f>
        <v>0</v>
      </c>
      <c r="K14" s="143">
        <f>[9]STA_SP2_NO!$J$20</f>
        <v>0</v>
      </c>
      <c r="L14" s="379">
        <f>[10]STA_SP2_NO!$J$20</f>
        <v>0</v>
      </c>
      <c r="M14" s="394">
        <f>[11]STA_SP2_NO!$J$20</f>
        <v>0</v>
      </c>
      <c r="N14" s="397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[1]STA_SP2_NO!$J$21</f>
        <v>0</v>
      </c>
      <c r="D15" s="68">
        <f>[2]STA_SP2_NO!$J$21</f>
        <v>0</v>
      </c>
      <c r="E15" s="117">
        <f>[3]STA_SP2_NO!$J$21</f>
        <v>0</v>
      </c>
      <c r="F15" s="118">
        <f>[4]STA_SP2_NO!$J$21</f>
        <v>0</v>
      </c>
      <c r="G15" s="385">
        <f>[5]STA_SP2_NO!$J$21</f>
        <v>0</v>
      </c>
      <c r="H15" s="126">
        <f>[6]STA_SP2_NO!$J$21</f>
        <v>0</v>
      </c>
      <c r="I15" s="143">
        <f>[7]STA_SP2_NO!$J$21</f>
        <v>0</v>
      </c>
      <c r="J15" s="126">
        <f>[8]STA_SP2_NO!$J$21</f>
        <v>0</v>
      </c>
      <c r="K15" s="143">
        <f>[9]STA_SP2_NO!$J$21</f>
        <v>0</v>
      </c>
      <c r="L15" s="379">
        <f>[10]STA_SP2_NO!$J$21</f>
        <v>0</v>
      </c>
      <c r="M15" s="394">
        <f>[11]STA_SP2_NO!$J$21</f>
        <v>0</v>
      </c>
      <c r="N15" s="397">
        <f t="shared" si="0"/>
        <v>0</v>
      </c>
    </row>
    <row r="16" spans="1:14" ht="57" thickBot="1" x14ac:dyDescent="0.3">
      <c r="A16" s="32">
        <v>12</v>
      </c>
      <c r="B16" s="53" t="s">
        <v>50</v>
      </c>
      <c r="C16" s="117">
        <f>[1]STA_SP2_NO!$J$22</f>
        <v>0</v>
      </c>
      <c r="D16" s="68">
        <f>[2]STA_SP2_NO!$J$22</f>
        <v>0</v>
      </c>
      <c r="E16" s="117">
        <f>[3]STA_SP2_NO!$J$22</f>
        <v>0</v>
      </c>
      <c r="F16" s="118">
        <f>[4]STA_SP2_NO!$J$22</f>
        <v>0</v>
      </c>
      <c r="G16" s="385">
        <f>[5]STA_SP2_NO!$J$22</f>
        <v>0</v>
      </c>
      <c r="H16" s="126">
        <f>[6]STA_SP2_NO!$J$22</f>
        <v>0</v>
      </c>
      <c r="I16" s="143">
        <f>[7]STA_SP2_NO!$J$22</f>
        <v>0</v>
      </c>
      <c r="J16" s="126">
        <f>[8]STA_SP2_NO!$J$22</f>
        <v>0</v>
      </c>
      <c r="K16" s="143">
        <f>[9]STA_SP2_NO!$J$22</f>
        <v>0</v>
      </c>
      <c r="L16" s="379">
        <f>[10]STA_SP2_NO!$J$22</f>
        <v>0</v>
      </c>
      <c r="M16" s="395">
        <f>[11]STA_SP2_NO!$J$22</f>
        <v>0</v>
      </c>
      <c r="N16" s="397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[1]STA_SP2_NO!$J$23</f>
        <v>0</v>
      </c>
      <c r="D17" s="68">
        <f>[2]STA_SP2_NO!$J$23</f>
        <v>0</v>
      </c>
      <c r="E17" s="117">
        <f>[3]STA_SP2_NO!$J$23</f>
        <v>0</v>
      </c>
      <c r="F17" s="118">
        <f>[4]STA_SP2_NO!$J$23</f>
        <v>0</v>
      </c>
      <c r="G17" s="385">
        <f>[5]STA_SP2_NO!$J$23</f>
        <v>0</v>
      </c>
      <c r="H17" s="126">
        <f>[6]STA_SP2_NO!$J$23</f>
        <v>0</v>
      </c>
      <c r="I17" s="143">
        <f>[7]STA_SP2_NO!$J$23</f>
        <v>0</v>
      </c>
      <c r="J17" s="126">
        <f>[8]STA_SP2_NO!$J$23</f>
        <v>0</v>
      </c>
      <c r="K17" s="143">
        <f>[9]STA_SP2_NO!$J$23</f>
        <v>0</v>
      </c>
      <c r="L17" s="379">
        <f>[10]STA_SP2_NO!$J$23</f>
        <v>0</v>
      </c>
      <c r="M17" s="395">
        <f>[11]STA_SP2_NO!$J$23</f>
        <v>0</v>
      </c>
      <c r="N17" s="397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2541</v>
      </c>
      <c r="D18" s="42">
        <f t="shared" si="1"/>
        <v>1166</v>
      </c>
      <c r="E18" s="41">
        <f t="shared" si="1"/>
        <v>942</v>
      </c>
      <c r="F18" s="39">
        <f t="shared" si="1"/>
        <v>1205</v>
      </c>
      <c r="G18" s="40">
        <f t="shared" ref="G18:M18" si="2">SUM(G5:G17)</f>
        <v>1122</v>
      </c>
      <c r="H18" s="39">
        <f t="shared" si="2"/>
        <v>2021</v>
      </c>
      <c r="I18" s="40">
        <f t="shared" si="2"/>
        <v>2578</v>
      </c>
      <c r="J18" s="39">
        <f t="shared" si="2"/>
        <v>1297</v>
      </c>
      <c r="K18" s="40">
        <f t="shared" si="2"/>
        <v>962</v>
      </c>
      <c r="L18" s="380">
        <f t="shared" si="2"/>
        <v>1446</v>
      </c>
      <c r="M18" s="396">
        <f t="shared" si="2"/>
        <v>108</v>
      </c>
      <c r="N18" s="234">
        <f t="shared" si="0"/>
        <v>15388</v>
      </c>
    </row>
    <row r="19" spans="1:14" ht="15.75" thickBot="1" x14ac:dyDescent="0.3">
      <c r="A19" s="108"/>
      <c r="B19" s="109"/>
      <c r="C19" s="46"/>
      <c r="D19" s="40"/>
      <c r="E19" s="46"/>
      <c r="F19" s="40"/>
      <c r="G19" s="40"/>
      <c r="H19" s="46"/>
      <c r="I19" s="40"/>
      <c r="J19" s="46"/>
      <c r="K19" s="40"/>
      <c r="L19" s="46"/>
      <c r="M19" s="348"/>
      <c r="N19" s="46"/>
    </row>
    <row r="20" spans="1:14" ht="15.75" thickBot="1" x14ac:dyDescent="0.3">
      <c r="A20" s="533" t="s">
        <v>53</v>
      </c>
      <c r="B20" s="534"/>
      <c r="C20" s="55">
        <f>C18/N18</f>
        <v>0.1651286716922277</v>
      </c>
      <c r="D20" s="56">
        <f>D18/N18</f>
        <v>7.5773329867429171E-2</v>
      </c>
      <c r="E20" s="48">
        <f>E18/N18</f>
        <v>6.1216532362880167E-2</v>
      </c>
      <c r="F20" s="47">
        <f>F18/N18</f>
        <v>7.8307772290096181E-2</v>
      </c>
      <c r="G20" s="70">
        <f>G18/N18</f>
        <v>7.2913958929035613E-2</v>
      </c>
      <c r="H20" s="47">
        <f>H18/N18</f>
        <v>0.13133610605666754</v>
      </c>
      <c r="I20" s="70">
        <f>I18/N18</f>
        <v>0.16753314270860412</v>
      </c>
      <c r="J20" s="47">
        <f>J18/N18</f>
        <v>8.4286456979464519E-2</v>
      </c>
      <c r="K20" s="70">
        <f>K18/N18</f>
        <v>6.251624642578632E-2</v>
      </c>
      <c r="L20" s="389">
        <f>L18/N18</f>
        <v>9.3969326748115409E-2</v>
      </c>
      <c r="M20" s="342">
        <f>M18/N18</f>
        <v>7.0184559396932675E-3</v>
      </c>
      <c r="N20" s="258">
        <f>SUM(C20:M20)</f>
        <v>1</v>
      </c>
    </row>
  </sheetData>
  <mergeCells count="16">
    <mergeCell ref="A20:B20"/>
    <mergeCell ref="C1:K1"/>
    <mergeCell ref="A2:A4"/>
    <mergeCell ref="B2:B4"/>
    <mergeCell ref="H3:H4"/>
    <mergeCell ref="I3:I4"/>
    <mergeCell ref="J3:J4"/>
    <mergeCell ref="K3:K4"/>
    <mergeCell ref="M3:M4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P17" sqref="P17"/>
    </sheetView>
  </sheetViews>
  <sheetFormatPr defaultRowHeight="15" x14ac:dyDescent="0.25"/>
  <cols>
    <col min="1" max="1" width="2.85546875" customWidth="1"/>
    <col min="2" max="2" width="26.5703125" customWidth="1"/>
    <col min="6" max="6" width="9.5703125" bestFit="1" customWidth="1"/>
    <col min="11" max="11" width="9.5703125" bestFit="1" customWidth="1"/>
    <col min="14" max="14" width="8.5703125" customWidth="1"/>
  </cols>
  <sheetData>
    <row r="1" spans="1:14" ht="32.25" customHeight="1" thickBot="1" x14ac:dyDescent="0.3">
      <c r="A1" s="120" t="s">
        <v>67</v>
      </c>
      <c r="B1" s="26"/>
      <c r="C1" s="460" t="s">
        <v>111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155" t="s">
        <v>36</v>
      </c>
    </row>
    <row r="2" spans="1:14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490" t="s">
        <v>3</v>
      </c>
    </row>
    <row r="3" spans="1:14" ht="24" customHeight="1" x14ac:dyDescent="0.25">
      <c r="A3" s="503"/>
      <c r="B3" s="504"/>
      <c r="C3" s="531" t="s">
        <v>69</v>
      </c>
      <c r="D3" s="532" t="s">
        <v>4</v>
      </c>
      <c r="E3" s="514" t="s">
        <v>5</v>
      </c>
      <c r="F3" s="465" t="s">
        <v>6</v>
      </c>
      <c r="G3" s="497" t="s">
        <v>8</v>
      </c>
      <c r="H3" s="465" t="s">
        <v>94</v>
      </c>
      <c r="I3" s="497" t="s">
        <v>9</v>
      </c>
      <c r="J3" s="521" t="s">
        <v>38</v>
      </c>
      <c r="K3" s="497" t="s">
        <v>93</v>
      </c>
      <c r="L3" s="465" t="s">
        <v>11</v>
      </c>
      <c r="M3" s="516" t="s">
        <v>96</v>
      </c>
      <c r="N3" s="491"/>
    </row>
    <row r="4" spans="1:14" ht="15.75" thickBot="1" x14ac:dyDescent="0.3">
      <c r="A4" s="498"/>
      <c r="B4" s="505"/>
      <c r="C4" s="494"/>
      <c r="D4" s="496"/>
      <c r="E4" s="498"/>
      <c r="F4" s="498"/>
      <c r="G4" s="506"/>
      <c r="H4" s="466"/>
      <c r="I4" s="506"/>
      <c r="J4" s="523"/>
      <c r="K4" s="506"/>
      <c r="L4" s="466"/>
      <c r="M4" s="518"/>
      <c r="N4" s="492"/>
    </row>
    <row r="5" spans="1:14" ht="15.75" thickBot="1" x14ac:dyDescent="0.3">
      <c r="A5" s="30">
        <v>1</v>
      </c>
      <c r="B5" s="31" t="s">
        <v>39</v>
      </c>
      <c r="C5" s="117">
        <f>[1]STA_SP2_NO!$K$11</f>
        <v>183180.04</v>
      </c>
      <c r="D5" s="68">
        <f>[2]STA_SP2_NO!$K$11</f>
        <v>62637.760000000002</v>
      </c>
      <c r="E5" s="117">
        <f>[3]STA_SP2_NO!$K$11</f>
        <v>47775</v>
      </c>
      <c r="F5" s="388">
        <f>[4]STA_SP2_NO!$K$11</f>
        <v>67015.23</v>
      </c>
      <c r="G5" s="385">
        <f>[5]STA_SP2_NO!$K$11</f>
        <v>72868</v>
      </c>
      <c r="H5" s="126">
        <f>[6]STA_SP2_NO!$K$11</f>
        <v>94334.63</v>
      </c>
      <c r="I5" s="143">
        <f>[7]STA_SP2_NO!$K$11</f>
        <v>164588</v>
      </c>
      <c r="J5" s="126">
        <f>[8]STA_SP2_NO!$K$11</f>
        <v>65555</v>
      </c>
      <c r="K5" s="143">
        <f>[9]STA_SP2_NO!$K$11</f>
        <v>71643.929999999993</v>
      </c>
      <c r="L5" s="379">
        <f>[10]STA_SP2_NO!$K$11</f>
        <v>88477</v>
      </c>
      <c r="M5" s="386">
        <f>[11]STA_SP2_NO!$K$11</f>
        <v>4893.17</v>
      </c>
      <c r="N5" s="249">
        <f t="shared" ref="N5:N17" si="0">SUM(C5:M5)</f>
        <v>922967.76000000013</v>
      </c>
    </row>
    <row r="6" spans="1:14" ht="15.75" thickBot="1" x14ac:dyDescent="0.3">
      <c r="A6" s="32">
        <v>2</v>
      </c>
      <c r="B6" s="33" t="s">
        <v>40</v>
      </c>
      <c r="C6" s="117">
        <f>[1]STA_SP2_NO!$K$12</f>
        <v>18578.939999999999</v>
      </c>
      <c r="D6" s="68">
        <f>[2]STA_SP2_NO!$K$12</f>
        <v>9245.0400000000009</v>
      </c>
      <c r="E6" s="117">
        <f>[3]STA_SP2_NO!$K$12</f>
        <v>7664</v>
      </c>
      <c r="F6" s="388">
        <f>[4]STA_SP2_NO!$K$12</f>
        <v>13019.77</v>
      </c>
      <c r="G6" s="385">
        <f>[5]STA_SP2_NO!$K$12</f>
        <v>9456</v>
      </c>
      <c r="H6" s="126">
        <f>[6]STA_SP2_NO!$K$12</f>
        <v>6428.97</v>
      </c>
      <c r="I6" s="143">
        <f>[7]STA_SP2_NO!$K$12</f>
        <v>16143</v>
      </c>
      <c r="J6" s="126">
        <f>[8]STA_SP2_NO!$K$12</f>
        <v>9251</v>
      </c>
      <c r="K6" s="143">
        <f>[9]STA_SP2_NO!$K$12</f>
        <v>5863.03</v>
      </c>
      <c r="L6" s="379">
        <f>[10]STA_SP2_NO!$K$12</f>
        <v>6319</v>
      </c>
      <c r="M6" s="386">
        <f>[11]STA_SP2_NO!$K$12</f>
        <v>738.56</v>
      </c>
      <c r="N6" s="249">
        <f t="shared" si="0"/>
        <v>102707.31</v>
      </c>
    </row>
    <row r="7" spans="1:14" ht="15.75" thickBot="1" x14ac:dyDescent="0.3">
      <c r="A7" s="32">
        <v>3</v>
      </c>
      <c r="B7" s="33" t="s">
        <v>41</v>
      </c>
      <c r="C7" s="117">
        <f>[1]STA_SP2_NO!$K$13</f>
        <v>667.81</v>
      </c>
      <c r="D7" s="68">
        <f>[2]STA_SP2_NO!$K$13</f>
        <v>893.2</v>
      </c>
      <c r="E7" s="117">
        <f>[3]STA_SP2_NO!$K$13</f>
        <v>86</v>
      </c>
      <c r="F7" s="388">
        <f>[4]STA_SP2_NO!$K$13</f>
        <v>825.47</v>
      </c>
      <c r="G7" s="385">
        <f>[5]STA_SP2_NO!$K$13</f>
        <v>216</v>
      </c>
      <c r="H7" s="126">
        <f>[6]STA_SP2_NO!$K$13</f>
        <v>2393.0100000000002</v>
      </c>
      <c r="I7" s="143">
        <f>[7]STA_SP2_NO!$K$13</f>
        <v>3362</v>
      </c>
      <c r="J7" s="126">
        <f>[8]STA_SP2_NO!$K$13</f>
        <v>1061</v>
      </c>
      <c r="K7" s="143">
        <f>[9]STA_SP2_NO!$K$13</f>
        <v>322.14999999999998</v>
      </c>
      <c r="L7" s="379">
        <f>[10]STA_SP2_NO!$K$13</f>
        <v>125</v>
      </c>
      <c r="M7" s="386">
        <f>[11]STA_SP2_NO!$K$13</f>
        <v>55.08</v>
      </c>
      <c r="N7" s="249">
        <f t="shared" si="0"/>
        <v>10006.719999999999</v>
      </c>
    </row>
    <row r="8" spans="1:14" ht="15.75" thickBot="1" x14ac:dyDescent="0.3">
      <c r="A8" s="32">
        <v>4</v>
      </c>
      <c r="B8" s="33" t="s">
        <v>42</v>
      </c>
      <c r="C8" s="117">
        <f>[1]STA_SP2_NO!$K$14</f>
        <v>268.67</v>
      </c>
      <c r="D8" s="68">
        <f>[2]STA_SP2_NO!$K$14</f>
        <v>171.67</v>
      </c>
      <c r="E8" s="117">
        <f>[3]STA_SP2_NO!$K$14</f>
        <v>85</v>
      </c>
      <c r="F8" s="388">
        <f>[4]STA_SP2_NO!$K$14</f>
        <v>326.7</v>
      </c>
      <c r="G8" s="385">
        <f>[5]STA_SP2_NO!$K$14</f>
        <v>120</v>
      </c>
      <c r="H8" s="126">
        <f>[6]STA_SP2_NO!$K$14</f>
        <v>275.13</v>
      </c>
      <c r="I8" s="143">
        <f>[7]STA_SP2_NO!$K$14</f>
        <v>1509</v>
      </c>
      <c r="J8" s="126">
        <f>[8]STA_SP2_NO!$K$14</f>
        <v>135</v>
      </c>
      <c r="K8" s="143">
        <f>[9]STA_SP2_NO!$K$14</f>
        <v>49.54</v>
      </c>
      <c r="L8" s="379">
        <f>[10]STA_SP2_NO!$K$14</f>
        <v>187</v>
      </c>
      <c r="M8" s="386">
        <f>[11]STA_SP2_NO!$K$14</f>
        <v>0</v>
      </c>
      <c r="N8" s="249">
        <f t="shared" si="0"/>
        <v>3127.71</v>
      </c>
    </row>
    <row r="9" spans="1:14" ht="15.75" thickBot="1" x14ac:dyDescent="0.3">
      <c r="A9" s="32">
        <v>5</v>
      </c>
      <c r="B9" s="33" t="s">
        <v>43</v>
      </c>
      <c r="C9" s="117">
        <f>[1]STA_SP2_NO!$K$15</f>
        <v>71.25</v>
      </c>
      <c r="D9" s="68">
        <f>[2]STA_SP2_NO!$K$15</f>
        <v>0</v>
      </c>
      <c r="E9" s="117">
        <f>[3]STA_SP2_NO!$K$15</f>
        <v>53</v>
      </c>
      <c r="F9" s="388">
        <f>[4]STA_SP2_NO!$K$15</f>
        <v>640.82000000000005</v>
      </c>
      <c r="G9" s="385">
        <f>[5]STA_SP2_NO!$K$15</f>
        <v>0</v>
      </c>
      <c r="H9" s="126">
        <f>[6]STA_SP2_NO!$K$15</f>
        <v>499.33</v>
      </c>
      <c r="I9" s="143">
        <f>[7]STA_SP2_NO!$K$15</f>
        <v>0</v>
      </c>
      <c r="J9" s="126">
        <f>[8]STA_SP2_NO!$K$15</f>
        <v>699</v>
      </c>
      <c r="K9" s="143">
        <f>[9]STA_SP2_NO!$K$15</f>
        <v>0</v>
      </c>
      <c r="L9" s="379">
        <f>[10]STA_SP2_NO!$K$15</f>
        <v>0</v>
      </c>
      <c r="M9" s="386">
        <f>[11]STA_SP2_NO!$K$15</f>
        <v>0</v>
      </c>
      <c r="N9" s="249">
        <f t="shared" si="0"/>
        <v>1963.4</v>
      </c>
    </row>
    <row r="10" spans="1:14" ht="15.75" thickBot="1" x14ac:dyDescent="0.3">
      <c r="A10" s="32">
        <v>6</v>
      </c>
      <c r="B10" s="33" t="s">
        <v>44</v>
      </c>
      <c r="C10" s="117">
        <f>[1]STA_SP2_NO!$K$16</f>
        <v>1482.12</v>
      </c>
      <c r="D10" s="68">
        <f>[2]STA_SP2_NO!$K$16</f>
        <v>437.24</v>
      </c>
      <c r="E10" s="117">
        <f>[3]STA_SP2_NO!$K$16</f>
        <v>280</v>
      </c>
      <c r="F10" s="388">
        <f>[4]STA_SP2_NO!$K$16</f>
        <v>86.21</v>
      </c>
      <c r="G10" s="385">
        <f>[5]STA_SP2_NO!$K$16</f>
        <v>86</v>
      </c>
      <c r="H10" s="126">
        <f>[6]STA_SP2_NO!$K$16</f>
        <v>1500.91</v>
      </c>
      <c r="I10" s="143">
        <f>[7]STA_SP2_NO!$K$16</f>
        <v>1011</v>
      </c>
      <c r="J10" s="126">
        <f>[8]STA_SP2_NO!$K$16</f>
        <v>443</v>
      </c>
      <c r="K10" s="143">
        <f>[9]STA_SP2_NO!$K$16</f>
        <v>687.41</v>
      </c>
      <c r="L10" s="379">
        <f>[10]STA_SP2_NO!$K$16</f>
        <v>2505</v>
      </c>
      <c r="M10" s="386">
        <f>[11]STA_SP2_NO!$K$16</f>
        <v>0</v>
      </c>
      <c r="N10" s="249">
        <f t="shared" si="0"/>
        <v>8518.89</v>
      </c>
    </row>
    <row r="11" spans="1:14" ht="15.75" thickBot="1" x14ac:dyDescent="0.3">
      <c r="A11" s="32">
        <v>7</v>
      </c>
      <c r="B11" s="33" t="s">
        <v>45</v>
      </c>
      <c r="C11" s="117">
        <f>[1]STA_SP2_NO!$K$17</f>
        <v>0.81</v>
      </c>
      <c r="D11" s="68">
        <f>[2]STA_SP2_NO!$K$17</f>
        <v>92.47</v>
      </c>
      <c r="E11" s="117">
        <f>[3]STA_SP2_NO!$K$17</f>
        <v>0</v>
      </c>
      <c r="F11" s="388">
        <f>[4]STA_SP2_NO!$K$17</f>
        <v>0</v>
      </c>
      <c r="G11" s="385">
        <f>[5]STA_SP2_NO!$K$17</f>
        <v>62</v>
      </c>
      <c r="H11" s="126">
        <f>[6]STA_SP2_NO!$K$17</f>
        <v>39.18</v>
      </c>
      <c r="I11" s="143">
        <f>[7]STA_SP2_NO!$K$17</f>
        <v>73</v>
      </c>
      <c r="J11" s="126">
        <f>[8]STA_SP2_NO!$K$17</f>
        <v>50</v>
      </c>
      <c r="K11" s="143">
        <f>[9]STA_SP2_NO!$K$17</f>
        <v>87.53</v>
      </c>
      <c r="L11" s="379">
        <f>[10]STA_SP2_NO!$K$17</f>
        <v>48</v>
      </c>
      <c r="M11" s="386">
        <f>[11]STA_SP2_NO!$K$17</f>
        <v>0</v>
      </c>
      <c r="N11" s="249">
        <f t="shared" si="0"/>
        <v>452.99</v>
      </c>
    </row>
    <row r="12" spans="1:14" ht="15.75" thickBot="1" x14ac:dyDescent="0.3">
      <c r="A12" s="32">
        <v>8</v>
      </c>
      <c r="B12" s="33" t="s">
        <v>46</v>
      </c>
      <c r="C12" s="117">
        <f>[1]STA_SP2_NO!$K$18</f>
        <v>528.63</v>
      </c>
      <c r="D12" s="68">
        <f>[2]STA_SP2_NO!$K$18</f>
        <v>0</v>
      </c>
      <c r="E12" s="117">
        <f>[3]STA_SP2_NO!$K$18</f>
        <v>1482</v>
      </c>
      <c r="F12" s="388">
        <f>[4]STA_SP2_NO!$K$18</f>
        <v>858.71</v>
      </c>
      <c r="G12" s="385">
        <f>[5]STA_SP2_NO!$K$18</f>
        <v>23</v>
      </c>
      <c r="H12" s="126">
        <f>[6]STA_SP2_NO!$K$18</f>
        <v>0</v>
      </c>
      <c r="I12" s="143">
        <f>[7]STA_SP2_NO!$K$18</f>
        <v>977</v>
      </c>
      <c r="J12" s="126">
        <f>[8]STA_SP2_NO!$K$18</f>
        <v>1335</v>
      </c>
      <c r="K12" s="143">
        <f>[9]STA_SP2_NO!$K$18</f>
        <v>0</v>
      </c>
      <c r="L12" s="379">
        <f>[10]STA_SP2_NO!$K$18</f>
        <v>89</v>
      </c>
      <c r="M12" s="386">
        <f>[11]STA_SP2_NO!$K$18</f>
        <v>0</v>
      </c>
      <c r="N12" s="249">
        <f t="shared" si="0"/>
        <v>5293.34</v>
      </c>
    </row>
    <row r="13" spans="1:14" ht="23.25" thickBot="1" x14ac:dyDescent="0.3">
      <c r="A13" s="32">
        <v>9</v>
      </c>
      <c r="B13" s="53" t="s">
        <v>47</v>
      </c>
      <c r="C13" s="117">
        <f>[1]STA_SP2_NO!$K$19</f>
        <v>0</v>
      </c>
      <c r="D13" s="68">
        <f>[2]STA_SP2_NO!$K$19</f>
        <v>0</v>
      </c>
      <c r="E13" s="117">
        <f>[3]STA_SP2_NO!$K$19</f>
        <v>0</v>
      </c>
      <c r="F13" s="388">
        <f>[4]STA_SP2_NO!$K$19</f>
        <v>0</v>
      </c>
      <c r="G13" s="385">
        <f>[5]STA_SP2_NO!$K$19</f>
        <v>0</v>
      </c>
      <c r="H13" s="126">
        <f>[6]STA_SP2_NO!$K$19</f>
        <v>0</v>
      </c>
      <c r="I13" s="143">
        <f>[7]STA_SP2_NO!$K$19</f>
        <v>0</v>
      </c>
      <c r="J13" s="126">
        <f>[8]STA_SP2_NO!$K$19</f>
        <v>0</v>
      </c>
      <c r="K13" s="143">
        <f>[9]STA_SP2_NO!$K$19</f>
        <v>0</v>
      </c>
      <c r="L13" s="379">
        <f>[10]STA_SP2_NO!$K$19</f>
        <v>0</v>
      </c>
      <c r="M13" s="386">
        <f>[11]STA_SP2_NO!$K$19</f>
        <v>0</v>
      </c>
      <c r="N13" s="249">
        <f t="shared" si="0"/>
        <v>0</v>
      </c>
    </row>
    <row r="14" spans="1:14" ht="34.5" thickBot="1" x14ac:dyDescent="0.3">
      <c r="A14" s="32">
        <v>10</v>
      </c>
      <c r="B14" s="156" t="s">
        <v>48</v>
      </c>
      <c r="C14" s="117">
        <f>[1]STA_SP2_NO!$K$20</f>
        <v>0</v>
      </c>
      <c r="D14" s="68">
        <f>[2]STA_SP2_NO!$K$20</f>
        <v>0</v>
      </c>
      <c r="E14" s="117">
        <f>[3]STA_SP2_NO!$K$20</f>
        <v>0</v>
      </c>
      <c r="F14" s="388">
        <f>[4]STA_SP2_NO!$K$20</f>
        <v>0</v>
      </c>
      <c r="G14" s="385">
        <f>[5]STA_SP2_NO!$K$20</f>
        <v>0</v>
      </c>
      <c r="H14" s="126">
        <f>[6]STA_SP2_NO!$K$20</f>
        <v>0</v>
      </c>
      <c r="I14" s="143">
        <f>[7]STA_SP2_NO!$K$20</f>
        <v>0</v>
      </c>
      <c r="J14" s="126">
        <f>[8]STA_SP2_NO!$K$20</f>
        <v>0</v>
      </c>
      <c r="K14" s="143">
        <f>[9]STA_SP2_NO!$K$20</f>
        <v>0</v>
      </c>
      <c r="L14" s="379">
        <f>[10]STA_SP2_NO!$K$20</f>
        <v>0</v>
      </c>
      <c r="M14" s="386">
        <f>[11]STA_SP2_NO!$K$20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[1]STA_SP2_NO!$K$21</f>
        <v>0</v>
      </c>
      <c r="D15" s="68">
        <f>[2]STA_SP2_NO!$K$21</f>
        <v>0</v>
      </c>
      <c r="E15" s="117">
        <f>[3]STA_SP2_NO!$K$21</f>
        <v>0</v>
      </c>
      <c r="F15" s="388">
        <f>[4]STA_SP2_NO!$K$21</f>
        <v>0</v>
      </c>
      <c r="G15" s="385">
        <f>[5]STA_SP2_NO!$K$21</f>
        <v>0</v>
      </c>
      <c r="H15" s="126">
        <f>[6]STA_SP2_NO!$K$21</f>
        <v>0</v>
      </c>
      <c r="I15" s="143">
        <f>[7]STA_SP2_NO!$K$21</f>
        <v>0</v>
      </c>
      <c r="J15" s="126">
        <f>[8]STA_SP2_NO!$K$21</f>
        <v>0</v>
      </c>
      <c r="K15" s="143">
        <f>[9]STA_SP2_NO!$K$21</f>
        <v>0</v>
      </c>
      <c r="L15" s="379">
        <f>[10]STA_SP2_NO!$K$21</f>
        <v>0</v>
      </c>
      <c r="M15" s="386">
        <f>[11]STA_SP2_NO!$K$21</f>
        <v>0</v>
      </c>
      <c r="N15" s="249">
        <f t="shared" si="0"/>
        <v>0</v>
      </c>
    </row>
    <row r="16" spans="1:14" ht="57" thickBot="1" x14ac:dyDescent="0.3">
      <c r="A16" s="32">
        <v>12</v>
      </c>
      <c r="B16" s="53" t="s">
        <v>50</v>
      </c>
      <c r="C16" s="117">
        <f>[1]STA_SP2_NO!$K$22</f>
        <v>0</v>
      </c>
      <c r="D16" s="68">
        <f>[2]STA_SP2_NO!$K$22</f>
        <v>0</v>
      </c>
      <c r="E16" s="117">
        <f>[3]STA_SP2_NO!$K$22</f>
        <v>0</v>
      </c>
      <c r="F16" s="388">
        <f>[4]STA_SP2_NO!$K$22</f>
        <v>0</v>
      </c>
      <c r="G16" s="385">
        <f>[5]STA_SP2_NO!$K$22</f>
        <v>0</v>
      </c>
      <c r="H16" s="126">
        <f>[6]STA_SP2_NO!$K$22</f>
        <v>0</v>
      </c>
      <c r="I16" s="143">
        <f>[7]STA_SP2_NO!$K$22</f>
        <v>0</v>
      </c>
      <c r="J16" s="126">
        <f>[8]STA_SP2_NO!$K$22</f>
        <v>0</v>
      </c>
      <c r="K16" s="143">
        <f>[9]STA_SP2_NO!$K$22</f>
        <v>0</v>
      </c>
      <c r="L16" s="379">
        <f>[10]STA_SP2_NO!$K$22</f>
        <v>0</v>
      </c>
      <c r="M16" s="386">
        <f>[11]STA_SP2_NO!$K$22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[1]STA_SP2_NO!$K$23</f>
        <v>0</v>
      </c>
      <c r="D17" s="68">
        <f>[2]STA_SP2_NO!$K$23</f>
        <v>0</v>
      </c>
      <c r="E17" s="117">
        <f>[3]STA_SP2_NO!$K$23</f>
        <v>0</v>
      </c>
      <c r="F17" s="388">
        <f>[4]STA_SP2_NO!$K$23</f>
        <v>0</v>
      </c>
      <c r="G17" s="385">
        <f>[5]STA_SP2_NO!$K$23</f>
        <v>0</v>
      </c>
      <c r="H17" s="126">
        <f>[6]STA_SP2_NO!$K$23</f>
        <v>0</v>
      </c>
      <c r="I17" s="143">
        <f>[7]STA_SP2_NO!$K$23</f>
        <v>0</v>
      </c>
      <c r="J17" s="126">
        <f>[8]STA_SP2_NO!$K$23</f>
        <v>0</v>
      </c>
      <c r="K17" s="143">
        <f>[9]STA_SP2_NO!$K$23</f>
        <v>0</v>
      </c>
      <c r="L17" s="379">
        <f>[10]STA_SP2_NO!$K$23</f>
        <v>0</v>
      </c>
      <c r="M17" s="386">
        <f>[11]STA_SP2_NO!$K$23</f>
        <v>0</v>
      </c>
      <c r="N17" s="249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E18" si="1">SUM(C5:C17)</f>
        <v>204778.27000000002</v>
      </c>
      <c r="D18" s="42">
        <f>SUM(D5:D17)</f>
        <v>73477.38</v>
      </c>
      <c r="E18" s="41">
        <f t="shared" si="1"/>
        <v>57425</v>
      </c>
      <c r="F18" s="39">
        <f t="shared" ref="F18:N18" si="2">SUM(F5:F17)</f>
        <v>82772.910000000018</v>
      </c>
      <c r="G18" s="40">
        <f t="shared" si="2"/>
        <v>82831</v>
      </c>
      <c r="H18" s="39">
        <f t="shared" si="2"/>
        <v>105471.16</v>
      </c>
      <c r="I18" s="40">
        <f t="shared" si="2"/>
        <v>187663</v>
      </c>
      <c r="J18" s="51">
        <f t="shared" si="2"/>
        <v>78529</v>
      </c>
      <c r="K18" s="40">
        <f t="shared" si="2"/>
        <v>78653.589999999982</v>
      </c>
      <c r="L18" s="380">
        <f t="shared" si="2"/>
        <v>97750</v>
      </c>
      <c r="M18" s="333">
        <f t="shared" si="2"/>
        <v>5686.8099999999995</v>
      </c>
      <c r="N18" s="250">
        <f t="shared" si="2"/>
        <v>1055038.1200000001</v>
      </c>
    </row>
    <row r="19" spans="1:14" ht="15.75" thickBot="1" x14ac:dyDescent="0.3">
      <c r="G19" s="341"/>
      <c r="H19" s="1"/>
      <c r="I19" s="341"/>
      <c r="J19" s="1"/>
      <c r="K19" s="341"/>
      <c r="L19" s="1"/>
      <c r="M19" s="341"/>
    </row>
    <row r="20" spans="1:14" ht="15.75" thickBot="1" x14ac:dyDescent="0.3">
      <c r="A20" s="533" t="s">
        <v>53</v>
      </c>
      <c r="B20" s="534"/>
      <c r="C20" s="55">
        <f>C18/N18</f>
        <v>0.19409561239360715</v>
      </c>
      <c r="D20" s="56">
        <f>D18/N18</f>
        <v>6.9644289250894553E-2</v>
      </c>
      <c r="E20" s="48">
        <f>E18/N18</f>
        <v>5.4429312942739921E-2</v>
      </c>
      <c r="F20" s="47">
        <f>F18/N18</f>
        <v>7.8454899809686507E-2</v>
      </c>
      <c r="G20" s="70">
        <f>G18/N18</f>
        <v>7.8509959431608017E-2</v>
      </c>
      <c r="H20" s="47">
        <f>H18/N18</f>
        <v>9.9969051355224964E-2</v>
      </c>
      <c r="I20" s="70">
        <f>I18/N18</f>
        <v>0.17787319381407751</v>
      </c>
      <c r="J20" s="47">
        <f>J18/N18</f>
        <v>7.4432381647025217E-2</v>
      </c>
      <c r="K20" s="70">
        <f>K18/N18</f>
        <v>7.4550472166825574E-2</v>
      </c>
      <c r="L20" s="389">
        <f>L18/N18</f>
        <v>9.2650680716636083E-2</v>
      </c>
      <c r="M20" s="342">
        <f>M18/N18</f>
        <v>5.3901464716744063E-3</v>
      </c>
      <c r="N20" s="258">
        <f>SUM(C20:M20)</f>
        <v>0.99999999999999978</v>
      </c>
    </row>
    <row r="21" spans="1:14" x14ac:dyDescent="0.25">
      <c r="K21" s="341"/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Q25" sqref="Q25"/>
    </sheetView>
  </sheetViews>
  <sheetFormatPr defaultRowHeight="15" x14ac:dyDescent="0.25"/>
  <cols>
    <col min="1" max="1" width="4" customWidth="1"/>
    <col min="2" max="2" width="21.5703125" customWidth="1"/>
  </cols>
  <sheetData>
    <row r="1" spans="1:15" ht="27.75" customHeight="1" thickBot="1" x14ac:dyDescent="0.3">
      <c r="A1" s="120"/>
      <c r="B1" s="26"/>
      <c r="C1" s="460" t="s">
        <v>112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52"/>
    </row>
    <row r="2" spans="1:15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90" t="s">
        <v>3</v>
      </c>
    </row>
    <row r="3" spans="1:15" x14ac:dyDescent="0.25">
      <c r="A3" s="503"/>
      <c r="B3" s="504"/>
      <c r="C3" s="510" t="s">
        <v>69</v>
      </c>
      <c r="D3" s="504" t="s">
        <v>4</v>
      </c>
      <c r="E3" s="514" t="s">
        <v>5</v>
      </c>
      <c r="F3" s="465" t="s">
        <v>6</v>
      </c>
      <c r="G3" s="497" t="s">
        <v>8</v>
      </c>
      <c r="H3" s="465" t="s">
        <v>94</v>
      </c>
      <c r="I3" s="497" t="s">
        <v>9</v>
      </c>
      <c r="J3" s="507" t="s">
        <v>10</v>
      </c>
      <c r="K3" s="497" t="s">
        <v>93</v>
      </c>
      <c r="L3" s="465" t="s">
        <v>11</v>
      </c>
      <c r="M3" s="526" t="s">
        <v>96</v>
      </c>
      <c r="N3" s="536"/>
    </row>
    <row r="4" spans="1:15" ht="15.75" thickBot="1" x14ac:dyDescent="0.3">
      <c r="A4" s="498"/>
      <c r="B4" s="505"/>
      <c r="C4" s="512"/>
      <c r="D4" s="498"/>
      <c r="E4" s="498"/>
      <c r="F4" s="498"/>
      <c r="G4" s="506"/>
      <c r="H4" s="466"/>
      <c r="I4" s="506"/>
      <c r="J4" s="508"/>
      <c r="K4" s="506"/>
      <c r="L4" s="466"/>
      <c r="M4" s="527"/>
      <c r="N4" s="537"/>
    </row>
    <row r="5" spans="1:15" x14ac:dyDescent="0.25">
      <c r="A5" s="30">
        <v>1</v>
      </c>
      <c r="B5" s="31" t="s">
        <v>39</v>
      </c>
      <c r="C5" s="62">
        <f>[1]STA_SP2_NO!$J$25</f>
        <v>40</v>
      </c>
      <c r="D5" s="118">
        <f>[2]STA_SP2_NO!$J$25</f>
        <v>22</v>
      </c>
      <c r="E5" s="61">
        <f>[3]STA_SP2_NO!$J$25</f>
        <v>10</v>
      </c>
      <c r="F5" s="118">
        <f>[4]STA_SP2_NO!$J$25</f>
        <v>27</v>
      </c>
      <c r="G5" s="143">
        <f>[5]STA_SP2_NO!$J$25</f>
        <v>31</v>
      </c>
      <c r="H5" s="118">
        <f>[6]STA_SP2_NO!$J$25</f>
        <v>37</v>
      </c>
      <c r="I5" s="143">
        <f>[7]STA_SP2_NO!$J$25</f>
        <v>38</v>
      </c>
      <c r="J5" s="118">
        <f>[8]STA_SP2_NO!$J$25</f>
        <v>15</v>
      </c>
      <c r="K5" s="143">
        <f>[9]STA_SP2_NO!$J$25</f>
        <v>42</v>
      </c>
      <c r="L5" s="387">
        <f>[10]STA_SP2_NO!$J$25</f>
        <v>21</v>
      </c>
      <c r="M5" s="394">
        <f>[11]STA_SP2_NO!$J$25</f>
        <v>0</v>
      </c>
      <c r="N5" s="401">
        <f t="shared" ref="N5:N12" si="0">SUM(C5:M5)</f>
        <v>283</v>
      </c>
    </row>
    <row r="6" spans="1:15" x14ac:dyDescent="0.25">
      <c r="A6" s="32">
        <v>2</v>
      </c>
      <c r="B6" s="33" t="s">
        <v>40</v>
      </c>
      <c r="C6" s="62">
        <f>[1]STA_SP2_NO!$J$26</f>
        <v>75</v>
      </c>
      <c r="D6" s="118">
        <f>[2]STA_SP2_NO!$J$26</f>
        <v>94</v>
      </c>
      <c r="E6" s="61">
        <f>[3]STA_SP2_NO!$J$26</f>
        <v>22</v>
      </c>
      <c r="F6" s="118">
        <f>[4]STA_SP2_NO!$J$26</f>
        <v>54</v>
      </c>
      <c r="G6" s="143">
        <f>[5]STA_SP2_NO!$J$26</f>
        <v>16</v>
      </c>
      <c r="H6" s="118">
        <f>[6]STA_SP2_NO!$J$26</f>
        <v>23</v>
      </c>
      <c r="I6" s="143">
        <f>[7]STA_SP2_NO!$J$26</f>
        <v>35</v>
      </c>
      <c r="J6" s="118">
        <f>[8]STA_SP2_NO!$J$26</f>
        <v>25</v>
      </c>
      <c r="K6" s="143">
        <f>[9]STA_SP2_NO!$J$26</f>
        <v>23</v>
      </c>
      <c r="L6" s="387">
        <f>[10]STA_SP2_NO!$J$26</f>
        <v>20</v>
      </c>
      <c r="M6" s="394">
        <f>[11]STA_SP2_NO!$J$26</f>
        <v>0</v>
      </c>
      <c r="N6" s="401">
        <f t="shared" si="0"/>
        <v>387</v>
      </c>
    </row>
    <row r="7" spans="1:15" x14ac:dyDescent="0.25">
      <c r="A7" s="32">
        <v>3</v>
      </c>
      <c r="B7" s="33" t="s">
        <v>41</v>
      </c>
      <c r="C7" s="62">
        <f>[1]STA_SP2_NO!$J$27</f>
        <v>5</v>
      </c>
      <c r="D7" s="118">
        <f>[2]STA_SP2_NO!$J$27</f>
        <v>6</v>
      </c>
      <c r="E7" s="61">
        <f>[3]STA_SP2_NO!$J$27</f>
        <v>2</v>
      </c>
      <c r="F7" s="118">
        <f>[4]STA_SP2_NO!$J$27</f>
        <v>5</v>
      </c>
      <c r="G7" s="143">
        <f>[5]STA_SP2_NO!$J$27</f>
        <v>5</v>
      </c>
      <c r="H7" s="118">
        <f>[6]STA_SP2_NO!$J$27</f>
        <v>9</v>
      </c>
      <c r="I7" s="143">
        <f>[7]STA_SP2_NO!$J$27</f>
        <v>6</v>
      </c>
      <c r="J7" s="118">
        <f>[8]STA_SP2_NO!$J$27</f>
        <v>2</v>
      </c>
      <c r="K7" s="143">
        <f>[9]STA_SP2_NO!$J$27</f>
        <v>6</v>
      </c>
      <c r="L7" s="387">
        <f>[10]STA_SP2_NO!$J$27</f>
        <v>2</v>
      </c>
      <c r="M7" s="394">
        <f>[11]STA_SP2_NO!$J$27</f>
        <v>0</v>
      </c>
      <c r="N7" s="401">
        <f t="shared" si="0"/>
        <v>48</v>
      </c>
    </row>
    <row r="8" spans="1:15" x14ac:dyDescent="0.25">
      <c r="A8" s="32">
        <v>4</v>
      </c>
      <c r="B8" s="33" t="s">
        <v>42</v>
      </c>
      <c r="C8" s="62">
        <f>[1]STA_SP2_NO!$J$28</f>
        <v>0</v>
      </c>
      <c r="D8" s="118">
        <f>[2]STA_SP2_NO!$J$28</f>
        <v>0</v>
      </c>
      <c r="E8" s="61">
        <f>[3]STA_SP2_NO!$J$28</f>
        <v>0</v>
      </c>
      <c r="F8" s="118">
        <f>[4]STA_SP2_NO!$J$28</f>
        <v>0</v>
      </c>
      <c r="G8" s="143">
        <f>[5]STA_SP2_NO!$J$28</f>
        <v>0</v>
      </c>
      <c r="H8" s="118">
        <f>[6]STA_SP2_NO!$J$28</f>
        <v>0</v>
      </c>
      <c r="I8" s="143">
        <f>[7]STA_SP2_NO!$J$28</f>
        <v>0</v>
      </c>
      <c r="J8" s="118">
        <f>[8]STA_SP2_NO!$J$28</f>
        <v>0</v>
      </c>
      <c r="K8" s="143">
        <f>[9]STA_SP2_NO!$J$28</f>
        <v>0</v>
      </c>
      <c r="L8" s="387">
        <f>[10]STA_SP2_NO!$J$28</f>
        <v>0</v>
      </c>
      <c r="M8" s="394">
        <f>[11]STA_SP2_NO!$J$28</f>
        <v>0</v>
      </c>
      <c r="N8" s="401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[1]STA_SP2_NO!$J$29</f>
        <v>0</v>
      </c>
      <c r="D9" s="118">
        <f>[2]STA_SP2_NO!$J$29</f>
        <v>0</v>
      </c>
      <c r="E9" s="61">
        <f>[3]STA_SP2_NO!$J$29</f>
        <v>0</v>
      </c>
      <c r="F9" s="118">
        <f>[4]STA_SP2_NO!$J$29</f>
        <v>0</v>
      </c>
      <c r="G9" s="143">
        <f>[5]STA_SP2_NO!$J$29</f>
        <v>0</v>
      </c>
      <c r="H9" s="118">
        <f>[6]STA_SP2_NO!$J$29</f>
        <v>0</v>
      </c>
      <c r="I9" s="143">
        <f>[7]STA_SP2_NO!$J$29</f>
        <v>0</v>
      </c>
      <c r="J9" s="118">
        <f>[8]STA_SP2_NO!$J$29</f>
        <v>0</v>
      </c>
      <c r="K9" s="143">
        <f>[9]STA_SP2_NO!$J$29</f>
        <v>0</v>
      </c>
      <c r="L9" s="387">
        <f>[10]STA_SP2_NO!$J$29</f>
        <v>0</v>
      </c>
      <c r="M9" s="394">
        <f>[11]STA_SP2_NO!$J$29</f>
        <v>0</v>
      </c>
      <c r="N9" s="401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[1]STA_SP2_NO!$J$30</f>
        <v>0</v>
      </c>
      <c r="D10" s="118">
        <f>[2]STA_SP2_NO!$J$30</f>
        <v>0</v>
      </c>
      <c r="E10" s="61">
        <f>[3]STA_SP2_NO!$J$30</f>
        <v>0</v>
      </c>
      <c r="F10" s="118">
        <f>[4]STA_SP2_NO!$J$30</f>
        <v>0</v>
      </c>
      <c r="G10" s="143">
        <f>[5]STA_SP2_NO!$J$30</f>
        <v>1</v>
      </c>
      <c r="H10" s="118">
        <f>[6]STA_SP2_NO!$J$30</f>
        <v>1</v>
      </c>
      <c r="I10" s="143">
        <f>[7]STA_SP2_NO!$J$30</f>
        <v>0</v>
      </c>
      <c r="J10" s="118">
        <f>[8]STA_SP2_NO!$J$30</f>
        <v>0</v>
      </c>
      <c r="K10" s="143">
        <f>[9]STA_SP2_NO!$J$30</f>
        <v>0</v>
      </c>
      <c r="L10" s="387">
        <f>[10]STA_SP2_NO!$J$30</f>
        <v>0</v>
      </c>
      <c r="M10" s="394">
        <f>[11]STA_SP2_NO!$J$30</f>
        <v>0</v>
      </c>
      <c r="N10" s="401">
        <f t="shared" si="0"/>
        <v>2</v>
      </c>
    </row>
    <row r="11" spans="1:15" x14ac:dyDescent="0.25">
      <c r="A11" s="32">
        <v>7</v>
      </c>
      <c r="B11" s="33" t="s">
        <v>45</v>
      </c>
      <c r="C11" s="62">
        <f>[1]STA_SP2_NO!$J$31</f>
        <v>2</v>
      </c>
      <c r="D11" s="118">
        <f>[2]STA_SP2_NO!$J$31</f>
        <v>4</v>
      </c>
      <c r="E11" s="61">
        <f>[3]STA_SP2_NO!$J$31</f>
        <v>2</v>
      </c>
      <c r="F11" s="118">
        <f>[4]STA_SP2_NO!$J$31</f>
        <v>0</v>
      </c>
      <c r="G11" s="143">
        <f>[5]STA_SP2_NO!$J$31</f>
        <v>0</v>
      </c>
      <c r="H11" s="118">
        <f>[6]STA_SP2_NO!$J$31</f>
        <v>2</v>
      </c>
      <c r="I11" s="143">
        <f>[7]STA_SP2_NO!$J$31</f>
        <v>1</v>
      </c>
      <c r="J11" s="118">
        <f>[8]STA_SP2_NO!$J$31</f>
        <v>0</v>
      </c>
      <c r="K11" s="143">
        <f>[9]STA_SP2_NO!$J$31</f>
        <v>0</v>
      </c>
      <c r="L11" s="387">
        <f>[10]STA_SP2_NO!$J$31</f>
        <v>0</v>
      </c>
      <c r="M11" s="394">
        <f>[11]STA_SP2_NO!$J$31</f>
        <v>0</v>
      </c>
      <c r="N11" s="401">
        <f t="shared" si="0"/>
        <v>11</v>
      </c>
    </row>
    <row r="12" spans="1:15" ht="15.75" thickBot="1" x14ac:dyDescent="0.3">
      <c r="A12" s="34">
        <v>8</v>
      </c>
      <c r="B12" s="35" t="s">
        <v>46</v>
      </c>
      <c r="C12" s="62">
        <f>[1]STA_SP2_NO!$J$32</f>
        <v>0</v>
      </c>
      <c r="D12" s="118">
        <f>[2]STA_SP2_NO!$J$32</f>
        <v>0</v>
      </c>
      <c r="E12" s="61">
        <f>[3]STA_SP2_NO!$J$32</f>
        <v>0</v>
      </c>
      <c r="F12" s="118">
        <f>[4]STA_SP2_NO!$J$32</f>
        <v>0</v>
      </c>
      <c r="G12" s="143">
        <f>[5]STA_SP2_NO!$J$32</f>
        <v>0</v>
      </c>
      <c r="H12" s="118">
        <f>[6]STA_SP2_NO!$J$32</f>
        <v>0</v>
      </c>
      <c r="I12" s="143">
        <f>[7]STA_SP2_NO!$J$32</f>
        <v>0</v>
      </c>
      <c r="J12" s="118">
        <f>[8]STA_SP2_NO!$J$32</f>
        <v>0</v>
      </c>
      <c r="K12" s="143">
        <f>[9]STA_SP2_NO!$J$32</f>
        <v>0</v>
      </c>
      <c r="L12" s="387">
        <f>[10]STA_SP2_NO!$J$32</f>
        <v>0</v>
      </c>
      <c r="M12" s="394">
        <f>[11]STA_SP2_NO!$J$32</f>
        <v>0</v>
      </c>
      <c r="N12" s="401">
        <f t="shared" si="0"/>
        <v>0</v>
      </c>
    </row>
    <row r="13" spans="1:15" ht="15.75" thickBot="1" x14ac:dyDescent="0.3">
      <c r="A13" s="36"/>
      <c r="B13" s="37" t="s">
        <v>54</v>
      </c>
      <c r="C13" s="41">
        <f t="shared" ref="C13:F13" si="1">SUM(C5:C12)</f>
        <v>122</v>
      </c>
      <c r="D13" s="39">
        <f t="shared" si="1"/>
        <v>126</v>
      </c>
      <c r="E13" s="41">
        <f t="shared" si="1"/>
        <v>36</v>
      </c>
      <c r="F13" s="39">
        <f t="shared" si="1"/>
        <v>86</v>
      </c>
      <c r="G13" s="40">
        <f t="shared" ref="G13:N13" si="2">SUM(G5:G12)</f>
        <v>53</v>
      </c>
      <c r="H13" s="39">
        <f t="shared" si="2"/>
        <v>72</v>
      </c>
      <c r="I13" s="40">
        <f t="shared" si="2"/>
        <v>80</v>
      </c>
      <c r="J13" s="39">
        <f t="shared" si="2"/>
        <v>42</v>
      </c>
      <c r="K13" s="40">
        <f t="shared" si="2"/>
        <v>71</v>
      </c>
      <c r="L13" s="380">
        <f t="shared" si="2"/>
        <v>43</v>
      </c>
      <c r="M13" s="400">
        <f t="shared" si="2"/>
        <v>0</v>
      </c>
      <c r="N13" s="234">
        <f t="shared" si="2"/>
        <v>731</v>
      </c>
    </row>
    <row r="14" spans="1:15" x14ac:dyDescent="0.25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1"/>
      <c r="O14" s="1"/>
    </row>
    <row r="15" spans="1:15" ht="15.75" thickBot="1" x14ac:dyDescent="0.3">
      <c r="A15" s="1"/>
      <c r="B15" s="1"/>
      <c r="C15" s="1"/>
      <c r="D15" s="1"/>
      <c r="E15" s="1"/>
      <c r="F15" s="1"/>
      <c r="G15" s="341"/>
      <c r="H15" s="1"/>
      <c r="I15" s="341"/>
      <c r="J15" s="1"/>
      <c r="K15" s="341"/>
      <c r="L15" s="1"/>
      <c r="M15" s="341"/>
      <c r="O15" s="1"/>
    </row>
    <row r="16" spans="1:15" ht="15.75" thickBot="1" x14ac:dyDescent="0.3">
      <c r="A16" s="538" t="s">
        <v>53</v>
      </c>
      <c r="B16" s="539"/>
      <c r="C16" s="55">
        <f>C13/N13</f>
        <v>0.16689466484268126</v>
      </c>
      <c r="D16" s="56">
        <f>D13/N13</f>
        <v>0.17236662106703146</v>
      </c>
      <c r="E16" s="48">
        <f>E13/N13</f>
        <v>4.9247606019151846E-2</v>
      </c>
      <c r="F16" s="47">
        <f>F13/N13</f>
        <v>0.11764705882352941</v>
      </c>
      <c r="G16" s="70">
        <f>G13/N13</f>
        <v>7.2503419972640218E-2</v>
      </c>
      <c r="H16" s="47">
        <f>H13/N13</f>
        <v>9.8495212038303692E-2</v>
      </c>
      <c r="I16" s="70">
        <f>I13/N13</f>
        <v>0.1094391244870041</v>
      </c>
      <c r="J16" s="47">
        <f>J13/N13</f>
        <v>5.7455540355677154E-2</v>
      </c>
      <c r="K16" s="70">
        <f>K13/N13</f>
        <v>9.7127222982216141E-2</v>
      </c>
      <c r="L16" s="47">
        <f>L13/N13</f>
        <v>5.8823529411764705E-2</v>
      </c>
      <c r="M16" s="342">
        <f>M13/N13</f>
        <v>0</v>
      </c>
      <c r="N16" s="258">
        <f>SUM(C16:M16)</f>
        <v>0.99999999999999989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1"/>
      <c r="B18" s="26"/>
      <c r="C18" s="460" t="s">
        <v>113</v>
      </c>
      <c r="D18" s="461"/>
      <c r="E18" s="461"/>
      <c r="F18" s="461"/>
      <c r="G18" s="461"/>
      <c r="H18" s="461"/>
      <c r="I18" s="461"/>
      <c r="J18" s="462"/>
      <c r="K18" s="462"/>
      <c r="L18" s="26"/>
      <c r="M18" s="26"/>
      <c r="N18" s="155" t="s">
        <v>36</v>
      </c>
    </row>
    <row r="19" spans="1:15" ht="15.75" thickBot="1" x14ac:dyDescent="0.3">
      <c r="A19" s="463" t="s">
        <v>0</v>
      </c>
      <c r="B19" s="525" t="s">
        <v>1</v>
      </c>
      <c r="C19" s="485" t="s">
        <v>2</v>
      </c>
      <c r="D19" s="486"/>
      <c r="E19" s="486"/>
      <c r="F19" s="486"/>
      <c r="G19" s="486"/>
      <c r="H19" s="486"/>
      <c r="I19" s="486"/>
      <c r="J19" s="486"/>
      <c r="K19" s="486"/>
      <c r="L19" s="486"/>
      <c r="M19" s="487"/>
      <c r="N19" s="490" t="s">
        <v>3</v>
      </c>
    </row>
    <row r="20" spans="1:15" x14ac:dyDescent="0.25">
      <c r="A20" s="503"/>
      <c r="B20" s="504"/>
      <c r="C20" s="510" t="s">
        <v>69</v>
      </c>
      <c r="D20" s="504" t="s">
        <v>4</v>
      </c>
      <c r="E20" s="514" t="s">
        <v>5</v>
      </c>
      <c r="F20" s="465" t="s">
        <v>6</v>
      </c>
      <c r="G20" s="497" t="s">
        <v>8</v>
      </c>
      <c r="H20" s="465" t="s">
        <v>94</v>
      </c>
      <c r="I20" s="497" t="s">
        <v>9</v>
      </c>
      <c r="J20" s="507" t="s">
        <v>10</v>
      </c>
      <c r="K20" s="497" t="s">
        <v>93</v>
      </c>
      <c r="L20" s="465" t="s">
        <v>11</v>
      </c>
      <c r="M20" s="526" t="s">
        <v>96</v>
      </c>
      <c r="N20" s="536"/>
    </row>
    <row r="21" spans="1:15" ht="15.75" thickBot="1" x14ac:dyDescent="0.3">
      <c r="A21" s="498"/>
      <c r="B21" s="505"/>
      <c r="C21" s="512"/>
      <c r="D21" s="498"/>
      <c r="E21" s="498"/>
      <c r="F21" s="498"/>
      <c r="G21" s="506"/>
      <c r="H21" s="466"/>
      <c r="I21" s="506"/>
      <c r="J21" s="508"/>
      <c r="K21" s="506"/>
      <c r="L21" s="466"/>
      <c r="M21" s="527"/>
      <c r="N21" s="537"/>
    </row>
    <row r="22" spans="1:15" x14ac:dyDescent="0.25">
      <c r="A22" s="30">
        <v>1</v>
      </c>
      <c r="B22" s="31" t="s">
        <v>39</v>
      </c>
      <c r="C22" s="62">
        <f>[1]STA_SP2_NO!$K$25</f>
        <v>7819.03</v>
      </c>
      <c r="D22" s="118">
        <f>[2]STA_SP2_NO!$K$25</f>
        <v>4142.8900000000003</v>
      </c>
      <c r="E22" s="61">
        <f>[3]STA_SP2_NO!$K$25</f>
        <v>2870</v>
      </c>
      <c r="F22" s="118">
        <f>[4]STA_SP2_NO!$K$25</f>
        <v>6091.38</v>
      </c>
      <c r="G22" s="143">
        <f>[5]STA_SP2_NO!$K$25</f>
        <v>12733</v>
      </c>
      <c r="H22" s="118">
        <f>[6]STA_SP2_NO!$K$25</f>
        <v>7683.56</v>
      </c>
      <c r="I22" s="143">
        <f>[7]STA_SP2_NO!$K$25</f>
        <v>9773</v>
      </c>
      <c r="J22" s="118">
        <f>[8]STA_SP2_NO!$K$25</f>
        <v>5884</v>
      </c>
      <c r="K22" s="143">
        <f>[9]STA_SP2_NO!$K$25</f>
        <v>18972.04</v>
      </c>
      <c r="L22" s="387">
        <f>[10]STA_SP2_NO!$K$25</f>
        <v>3567</v>
      </c>
      <c r="M22" s="394">
        <f>[11]STA_SP2_NO!$K$25</f>
        <v>0</v>
      </c>
      <c r="N22" s="397">
        <f t="shared" ref="N22:N29" si="3">SUM(C22:M22)</f>
        <v>79535.899999999994</v>
      </c>
    </row>
    <row r="23" spans="1:15" x14ac:dyDescent="0.25">
      <c r="A23" s="32">
        <v>2</v>
      </c>
      <c r="B23" s="33" t="s">
        <v>40</v>
      </c>
      <c r="C23" s="62">
        <f>[1]STA_SP2_NO!$K$26</f>
        <v>22540.12</v>
      </c>
      <c r="D23" s="118">
        <f>[2]STA_SP2_NO!$K$26</f>
        <v>26780.67</v>
      </c>
      <c r="E23" s="61">
        <f>[3]STA_SP2_NO!$K$26</f>
        <v>8418</v>
      </c>
      <c r="F23" s="118">
        <f>[4]STA_SP2_NO!$K$26</f>
        <v>9431.2900000000009</v>
      </c>
      <c r="G23" s="143">
        <f>[5]STA_SP2_NO!$K$26</f>
        <v>4429</v>
      </c>
      <c r="H23" s="118">
        <f>[6]STA_SP2_NO!$K$26</f>
        <v>6421.77</v>
      </c>
      <c r="I23" s="143">
        <f>[7]STA_SP2_NO!$K$26</f>
        <v>4204</v>
      </c>
      <c r="J23" s="118">
        <f>[8]STA_SP2_NO!$K$26</f>
        <v>10712</v>
      </c>
      <c r="K23" s="143">
        <f>[9]STA_SP2_NO!$K$26</f>
        <v>6727.35</v>
      </c>
      <c r="L23" s="387">
        <f>[10]STA_SP2_NO!$K$26</f>
        <v>7077</v>
      </c>
      <c r="M23" s="394">
        <f>[11]STA_SP2_NO!$K$26</f>
        <v>0</v>
      </c>
      <c r="N23" s="397">
        <f t="shared" si="3"/>
        <v>106741.2</v>
      </c>
    </row>
    <row r="24" spans="1:15" x14ac:dyDescent="0.25">
      <c r="A24" s="32">
        <v>3</v>
      </c>
      <c r="B24" s="33" t="s">
        <v>41</v>
      </c>
      <c r="C24" s="62">
        <f>[1]STA_SP2_NO!$K$27</f>
        <v>722.76</v>
      </c>
      <c r="D24" s="118">
        <f>[2]STA_SP2_NO!$K$27</f>
        <v>974.83</v>
      </c>
      <c r="E24" s="61">
        <f>[3]STA_SP2_NO!$K$27</f>
        <v>148</v>
      </c>
      <c r="F24" s="118">
        <f>[4]STA_SP2_NO!$K$27</f>
        <v>2974.81</v>
      </c>
      <c r="G24" s="143">
        <f>[5]STA_SP2_NO!$K$27</f>
        <v>330</v>
      </c>
      <c r="H24" s="118">
        <f>[6]STA_SP2_NO!$K$27</f>
        <v>75.17</v>
      </c>
      <c r="I24" s="143">
        <f>[7]STA_SP2_NO!$K$27</f>
        <v>525</v>
      </c>
      <c r="J24" s="118">
        <f>[8]STA_SP2_NO!$K$27</f>
        <v>173</v>
      </c>
      <c r="K24" s="143">
        <f>[9]STA_SP2_NO!$K$27</f>
        <v>1946.48</v>
      </c>
      <c r="L24" s="387">
        <f>[10]STA_SP2_NO!$K$27</f>
        <v>1684</v>
      </c>
      <c r="M24" s="394">
        <f>[11]STA_SP2_NO!$K$27</f>
        <v>0</v>
      </c>
      <c r="N24" s="397">
        <f t="shared" si="3"/>
        <v>9554.0499999999993</v>
      </c>
    </row>
    <row r="25" spans="1:15" x14ac:dyDescent="0.25">
      <c r="A25" s="32">
        <v>4</v>
      </c>
      <c r="B25" s="33" t="s">
        <v>42</v>
      </c>
      <c r="C25" s="62">
        <f>[1]STA_SP2_NO!$K$28</f>
        <v>0</v>
      </c>
      <c r="D25" s="118">
        <f>[2]STA_SP2_NO!$K$28</f>
        <v>0</v>
      </c>
      <c r="E25" s="61">
        <f>[3]STA_SP2_NO!$K$28</f>
        <v>0</v>
      </c>
      <c r="F25" s="118">
        <f>[4]STA_SP2_NO!$K$28</f>
        <v>0</v>
      </c>
      <c r="G25" s="143">
        <f>[5]STA_SP2_NO!$K$28</f>
        <v>0</v>
      </c>
      <c r="H25" s="118">
        <f>[6]STA_SP2_NO!$K$28</f>
        <v>0</v>
      </c>
      <c r="I25" s="143">
        <f>[7]STA_SP2_NO!$K$28</f>
        <v>0</v>
      </c>
      <c r="J25" s="118">
        <f>[8]STA_SP2_NO!$K$28</f>
        <v>0</v>
      </c>
      <c r="K25" s="143">
        <f>[9]STA_SP2_NO!$K$28</f>
        <v>0</v>
      </c>
      <c r="L25" s="387">
        <f>[10]STA_SP2_NO!$K$28</f>
        <v>0</v>
      </c>
      <c r="M25" s="394">
        <f>[11]STA_SP2_NO!$K$28</f>
        <v>0</v>
      </c>
      <c r="N25" s="397">
        <f t="shared" si="3"/>
        <v>0</v>
      </c>
    </row>
    <row r="26" spans="1:15" x14ac:dyDescent="0.25">
      <c r="A26" s="32">
        <v>5</v>
      </c>
      <c r="B26" s="33" t="s">
        <v>43</v>
      </c>
      <c r="C26" s="62">
        <f>[1]STA_SP2_NO!$K$29</f>
        <v>0</v>
      </c>
      <c r="D26" s="118">
        <f>[2]STA_SP2_NO!$K$29</f>
        <v>0</v>
      </c>
      <c r="E26" s="61">
        <f>[3]STA_SP2_NO!$K$29</f>
        <v>0</v>
      </c>
      <c r="F26" s="118">
        <f>[4]STA_SP2_NO!$K$29</f>
        <v>0</v>
      </c>
      <c r="G26" s="143">
        <f>[5]STA_SP2_NO!$K$29</f>
        <v>0</v>
      </c>
      <c r="H26" s="118">
        <f>[6]STA_SP2_NO!$K$29</f>
        <v>0</v>
      </c>
      <c r="I26" s="143">
        <f>[7]STA_SP2_NO!$K$29</f>
        <v>0</v>
      </c>
      <c r="J26" s="118">
        <f>[8]STA_SP2_NO!$K$29</f>
        <v>0</v>
      </c>
      <c r="K26" s="143">
        <f>[9]STA_SP2_NO!$K$29</f>
        <v>0</v>
      </c>
      <c r="L26" s="387">
        <f>[10]STA_SP2_NO!$K$29</f>
        <v>0</v>
      </c>
      <c r="M26" s="394">
        <f>[11]STA_SP2_NO!$K$29</f>
        <v>0</v>
      </c>
      <c r="N26" s="397">
        <f t="shared" si="3"/>
        <v>0</v>
      </c>
    </row>
    <row r="27" spans="1:15" x14ac:dyDescent="0.25">
      <c r="A27" s="32">
        <v>6</v>
      </c>
      <c r="B27" s="33" t="s">
        <v>44</v>
      </c>
      <c r="C27" s="62">
        <f>[1]STA_SP2_NO!$K$30</f>
        <v>0</v>
      </c>
      <c r="D27" s="118">
        <f>[2]STA_SP2_NO!$K$30</f>
        <v>0</v>
      </c>
      <c r="E27" s="61">
        <f>[3]STA_SP2_NO!$K$30</f>
        <v>0</v>
      </c>
      <c r="F27" s="118">
        <f>[4]STA_SP2_NO!$K$30</f>
        <v>0</v>
      </c>
      <c r="G27" s="143">
        <f>[5]STA_SP2_NO!$K$30</f>
        <v>16</v>
      </c>
      <c r="H27" s="118">
        <f>[6]STA_SP2_NO!$K$30</f>
        <v>69.430000000000007</v>
      </c>
      <c r="I27" s="143">
        <f>[7]STA_SP2_NO!$K$30</f>
        <v>0</v>
      </c>
      <c r="J27" s="118">
        <f>[8]STA_SP2_NO!$K$30</f>
        <v>0</v>
      </c>
      <c r="K27" s="143">
        <f>[9]STA_SP2_NO!$K$30</f>
        <v>0</v>
      </c>
      <c r="L27" s="387">
        <f>[10]STA_SP2_NO!$K$30</f>
        <v>0</v>
      </c>
      <c r="M27" s="394">
        <f>[11]STA_SP2_NO!$K$30</f>
        <v>0</v>
      </c>
      <c r="N27" s="397">
        <f t="shared" si="3"/>
        <v>85.43</v>
      </c>
    </row>
    <row r="28" spans="1:15" x14ac:dyDescent="0.25">
      <c r="A28" s="32">
        <v>7</v>
      </c>
      <c r="B28" s="33" t="s">
        <v>45</v>
      </c>
      <c r="C28" s="62">
        <f>[1]STA_SP2_NO!$K$31</f>
        <v>449.71</v>
      </c>
      <c r="D28" s="118">
        <f>[2]STA_SP2_NO!$K$31</f>
        <v>828.07</v>
      </c>
      <c r="E28" s="61">
        <f>[3]STA_SP2_NO!$K$31</f>
        <v>102</v>
      </c>
      <c r="F28" s="118">
        <f>[4]STA_SP2_NO!$K$31</f>
        <v>0</v>
      </c>
      <c r="G28" s="143">
        <f>[5]STA_SP2_NO!$K$31</f>
        <v>0</v>
      </c>
      <c r="H28" s="118">
        <f>[6]STA_SP2_NO!$K$31</f>
        <v>428.18</v>
      </c>
      <c r="I28" s="143">
        <f>[7]STA_SP2_NO!$K$31</f>
        <v>201</v>
      </c>
      <c r="J28" s="118">
        <f>[8]STA_SP2_NO!$K$31</f>
        <v>0</v>
      </c>
      <c r="K28" s="143">
        <f>[9]STA_SP2_NO!$K$31</f>
        <v>0</v>
      </c>
      <c r="L28" s="387">
        <f>[10]STA_SP2_NO!$K$31</f>
        <v>0</v>
      </c>
      <c r="M28" s="394">
        <f>[11]STA_SP2_NO!$K$31</f>
        <v>0</v>
      </c>
      <c r="N28" s="397">
        <f t="shared" si="3"/>
        <v>2008.96</v>
      </c>
    </row>
    <row r="29" spans="1:15" ht="15.75" thickBot="1" x14ac:dyDescent="0.3">
      <c r="A29" s="34">
        <v>8</v>
      </c>
      <c r="B29" s="35" t="s">
        <v>46</v>
      </c>
      <c r="C29" s="62">
        <f>[1]STA_SP2_NO!$K$32</f>
        <v>0</v>
      </c>
      <c r="D29" s="118">
        <f>[2]STA_SP2_NO!$K$32</f>
        <v>0</v>
      </c>
      <c r="E29" s="61">
        <f>[3]STA_SP2_NO!$K$32</f>
        <v>0</v>
      </c>
      <c r="F29" s="118">
        <f>[4]STA_SP2_NO!$K$32</f>
        <v>0</v>
      </c>
      <c r="G29" s="143">
        <f>[5]STA_SP2_NO!$K$32</f>
        <v>0</v>
      </c>
      <c r="H29" s="118">
        <f>[6]STA_SP2_NO!$K$32</f>
        <v>0</v>
      </c>
      <c r="I29" s="143">
        <f>[7]STA_SP2_NO!$K$32</f>
        <v>0</v>
      </c>
      <c r="J29" s="118">
        <f>[8]STA_SP2_NO!$K$32</f>
        <v>0</v>
      </c>
      <c r="K29" s="143">
        <f>[9]STA_SP2_NO!$K$32</f>
        <v>0</v>
      </c>
      <c r="L29" s="387">
        <f>[10]STA_SP2_NO!$K$32</f>
        <v>0</v>
      </c>
      <c r="M29" s="394">
        <f>[11]STA_SP2_NO!$K$32</f>
        <v>0</v>
      </c>
      <c r="N29" s="397">
        <f t="shared" si="3"/>
        <v>0</v>
      </c>
    </row>
    <row r="30" spans="1:15" ht="15.75" thickBot="1" x14ac:dyDescent="0.3">
      <c r="A30" s="57"/>
      <c r="B30" s="37" t="s">
        <v>3</v>
      </c>
      <c r="C30" s="122">
        <f>SUM(C22:C28)</f>
        <v>31531.619999999995</v>
      </c>
      <c r="D30" s="51">
        <f t="shared" ref="D30:E30" si="4">SUM(D22:D29)</f>
        <v>32726.46</v>
      </c>
      <c r="E30" s="41">
        <f t="shared" si="4"/>
        <v>11538</v>
      </c>
      <c r="F30" s="51">
        <f t="shared" ref="F30:M30" si="5">SUM(F22:F29)</f>
        <v>18497.480000000003</v>
      </c>
      <c r="G30" s="40">
        <f t="shared" si="5"/>
        <v>17508</v>
      </c>
      <c r="H30" s="39">
        <f t="shared" si="5"/>
        <v>14678.110000000002</v>
      </c>
      <c r="I30" s="40">
        <f t="shared" si="5"/>
        <v>14703</v>
      </c>
      <c r="J30" s="39">
        <f t="shared" si="5"/>
        <v>16769</v>
      </c>
      <c r="K30" s="40">
        <f t="shared" si="5"/>
        <v>27645.87</v>
      </c>
      <c r="L30" s="338">
        <f t="shared" si="5"/>
        <v>12328</v>
      </c>
      <c r="M30" s="396">
        <f t="shared" si="5"/>
        <v>0</v>
      </c>
      <c r="N30" s="234">
        <f>SUM(C30:L30)</f>
        <v>197925.53999999998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8"/>
      <c r="N31" s="1"/>
    </row>
    <row r="32" spans="1:15" ht="15.75" thickBot="1" x14ac:dyDescent="0.3">
      <c r="A32" s="540" t="s">
        <v>53</v>
      </c>
      <c r="B32" s="541"/>
      <c r="C32" s="72">
        <f>C30/N30</f>
        <v>0.15931051646998159</v>
      </c>
      <c r="D32" s="71">
        <f>D30/N30</f>
        <v>0.165347332133084</v>
      </c>
      <c r="E32" s="72">
        <f>E30/N30</f>
        <v>5.8294649593983686E-2</v>
      </c>
      <c r="F32" s="47">
        <f>F30/N30</f>
        <v>9.3456761568011915E-2</v>
      </c>
      <c r="G32" s="48">
        <f>G30/N30</f>
        <v>8.8457507808239411E-2</v>
      </c>
      <c r="H32" s="398">
        <f>H30/N30</f>
        <v>7.4159757250125496E-2</v>
      </c>
      <c r="I32" s="48">
        <f>I30/N30</f>
        <v>7.4285511612094138E-2</v>
      </c>
      <c r="J32" s="398">
        <f>J30/N30</f>
        <v>8.4723780468149795E-2</v>
      </c>
      <c r="K32" s="48">
        <f>K30/N30</f>
        <v>0.13967813350414504</v>
      </c>
      <c r="L32" s="399">
        <f>L30/N30</f>
        <v>6.2286049592185026E-2</v>
      </c>
      <c r="M32" s="342">
        <f>M30/N30</f>
        <v>0</v>
      </c>
      <c r="N32" s="258">
        <f>SUM(C32:M32)</f>
        <v>1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6:B16"/>
    <mergeCell ref="C1:K1"/>
    <mergeCell ref="A2:A4"/>
    <mergeCell ref="B2:B4"/>
    <mergeCell ref="H3:H4"/>
    <mergeCell ref="I3:I4"/>
    <mergeCell ref="J3:J4"/>
    <mergeCell ref="K3:K4"/>
    <mergeCell ref="C2:M2"/>
    <mergeCell ref="N19:N21"/>
    <mergeCell ref="C20:C21"/>
    <mergeCell ref="D20:D21"/>
    <mergeCell ref="E20:E21"/>
    <mergeCell ref="N2:N4"/>
    <mergeCell ref="C3:C4"/>
    <mergeCell ref="D3:D4"/>
    <mergeCell ref="E3:E4"/>
    <mergeCell ref="F3:F4"/>
    <mergeCell ref="G3:G4"/>
    <mergeCell ref="L3:L4"/>
    <mergeCell ref="K20:K21"/>
    <mergeCell ref="L20:L21"/>
    <mergeCell ref="M3:M4"/>
    <mergeCell ref="M20:M21"/>
  </mergeCells>
  <pageMargins left="0.25" right="0.25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P27" sqref="P27"/>
    </sheetView>
  </sheetViews>
  <sheetFormatPr defaultRowHeight="15" x14ac:dyDescent="0.25"/>
  <cols>
    <col min="1" max="1" width="3.7109375" style="1" customWidth="1"/>
    <col min="2" max="2" width="22.5703125" customWidth="1"/>
  </cols>
  <sheetData>
    <row r="1" spans="1:15" ht="30" customHeight="1" thickBot="1" x14ac:dyDescent="0.3">
      <c r="B1" s="26"/>
      <c r="C1" s="460" t="s">
        <v>114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52"/>
    </row>
    <row r="2" spans="1:15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90" t="s">
        <v>3</v>
      </c>
    </row>
    <row r="3" spans="1:15" x14ac:dyDescent="0.25">
      <c r="A3" s="503"/>
      <c r="B3" s="504"/>
      <c r="C3" s="510" t="s">
        <v>69</v>
      </c>
      <c r="D3" s="504" t="s">
        <v>4</v>
      </c>
      <c r="E3" s="514" t="s">
        <v>5</v>
      </c>
      <c r="F3" s="465" t="s">
        <v>6</v>
      </c>
      <c r="G3" s="499" t="s">
        <v>8</v>
      </c>
      <c r="H3" s="465" t="s">
        <v>94</v>
      </c>
      <c r="I3" s="497" t="s">
        <v>9</v>
      </c>
      <c r="J3" s="507" t="s">
        <v>10</v>
      </c>
      <c r="K3" s="497" t="s">
        <v>93</v>
      </c>
      <c r="L3" s="465" t="s">
        <v>11</v>
      </c>
      <c r="M3" s="526" t="s">
        <v>96</v>
      </c>
      <c r="N3" s="536"/>
    </row>
    <row r="4" spans="1:15" ht="15.75" thickBot="1" x14ac:dyDescent="0.3">
      <c r="A4" s="498"/>
      <c r="B4" s="505"/>
      <c r="C4" s="512"/>
      <c r="D4" s="498"/>
      <c r="E4" s="498"/>
      <c r="F4" s="498"/>
      <c r="G4" s="500"/>
      <c r="H4" s="466"/>
      <c r="I4" s="506"/>
      <c r="J4" s="508"/>
      <c r="K4" s="506"/>
      <c r="L4" s="466"/>
      <c r="M4" s="527"/>
      <c r="N4" s="537"/>
    </row>
    <row r="5" spans="1:15" x14ac:dyDescent="0.25">
      <c r="A5" s="30">
        <v>1</v>
      </c>
      <c r="B5" s="31" t="s">
        <v>39</v>
      </c>
      <c r="C5" s="62">
        <f>[1]STA_SP2_NO!$J$34</f>
        <v>2</v>
      </c>
      <c r="D5" s="118">
        <f>[2]STA_SP2_NO!$J$34</f>
        <v>0</v>
      </c>
      <c r="E5" s="61">
        <f>[3]STA_SP2_NO!$J$34</f>
        <v>3</v>
      </c>
      <c r="F5" s="118">
        <f>[4]STA_SP2_NO!$J$34</f>
        <v>1</v>
      </c>
      <c r="G5" s="143">
        <f>[5]STA_SP2_NO!$J$34</f>
        <v>0</v>
      </c>
      <c r="H5" s="118">
        <f>[6]STA_SP2_NO!$J$34</f>
        <v>0</v>
      </c>
      <c r="I5" s="143">
        <f>[7]STA_SP2_NO!$J$34</f>
        <v>0</v>
      </c>
      <c r="J5" s="118">
        <f>[8]STA_SP2_NO!$J$34</f>
        <v>0</v>
      </c>
      <c r="K5" s="143">
        <f>[9]STA_SP2_NO!$J$34</f>
        <v>2</v>
      </c>
      <c r="L5" s="387">
        <f>[10]STA_SP2_NO!$J$34</f>
        <v>0</v>
      </c>
      <c r="M5" s="394">
        <f>[11]STA_SP2_NO!$J$34</f>
        <v>0</v>
      </c>
      <c r="N5" s="397">
        <f t="shared" ref="N5:N12" si="0">SUM(C5:M5)</f>
        <v>8</v>
      </c>
    </row>
    <row r="6" spans="1:15" x14ac:dyDescent="0.25">
      <c r="A6" s="32">
        <v>2</v>
      </c>
      <c r="B6" s="33" t="s">
        <v>40</v>
      </c>
      <c r="C6" s="62">
        <f>[1]STA_SP2_NO!$J$35</f>
        <v>0</v>
      </c>
      <c r="D6" s="118">
        <f>[2]STA_SP2_NO!$J$35</f>
        <v>0</v>
      </c>
      <c r="E6" s="61">
        <f>[3]STA_SP2_NO!$J$35</f>
        <v>1</v>
      </c>
      <c r="F6" s="118">
        <f>[4]STA_SP2_NO!$J$35</f>
        <v>0</v>
      </c>
      <c r="G6" s="143">
        <f>[5]STA_SP2_NO!$J$35</f>
        <v>0</v>
      </c>
      <c r="H6" s="118">
        <f>[6]STA_SP2_NO!$J$35</f>
        <v>1</v>
      </c>
      <c r="I6" s="143">
        <f>[7]STA_SP2_NO!$J$35</f>
        <v>0</v>
      </c>
      <c r="J6" s="118">
        <f>[8]STA_SP2_NO!$J$35</f>
        <v>0</v>
      </c>
      <c r="K6" s="143">
        <f>[9]STA_SP2_NO!$J$35</f>
        <v>0</v>
      </c>
      <c r="L6" s="387">
        <f>[10]STA_SP2_NO!$J$35</f>
        <v>0</v>
      </c>
      <c r="M6" s="394">
        <f>[11]STA_SP2_NO!$J$35</f>
        <v>0</v>
      </c>
      <c r="N6" s="397">
        <f t="shared" si="0"/>
        <v>2</v>
      </c>
    </row>
    <row r="7" spans="1:15" x14ac:dyDescent="0.25">
      <c r="A7" s="32">
        <v>3</v>
      </c>
      <c r="B7" s="33" t="s">
        <v>41</v>
      </c>
      <c r="C7" s="62">
        <f>[1]STA_SP2_NO!$J$36</f>
        <v>0</v>
      </c>
      <c r="D7" s="118">
        <f>[2]STA_SP2_NO!$J$36</f>
        <v>0</v>
      </c>
      <c r="E7" s="61">
        <f>[3]STA_SP2_NO!$J$36</f>
        <v>0</v>
      </c>
      <c r="F7" s="118">
        <f>[4]STA_SP2_NO!$J$36</f>
        <v>0</v>
      </c>
      <c r="G7" s="143">
        <f>[5]STA_SP2_NO!$J$36</f>
        <v>0</v>
      </c>
      <c r="H7" s="118">
        <f>[6]STA_SP2_NO!$J$36</f>
        <v>0</v>
      </c>
      <c r="I7" s="143">
        <f>[7]STA_SP2_NO!$J$36</f>
        <v>0</v>
      </c>
      <c r="J7" s="118">
        <f>[8]STA_SP2_NO!$J$36</f>
        <v>0</v>
      </c>
      <c r="K7" s="143">
        <f>[9]STA_SP2_NO!$J$36</f>
        <v>0</v>
      </c>
      <c r="L7" s="387">
        <f>[10]STA_SP2_NO!$J$36</f>
        <v>0</v>
      </c>
      <c r="M7" s="394">
        <f>[11]STA_SP2_NO!$J$36</f>
        <v>0</v>
      </c>
      <c r="N7" s="397">
        <f t="shared" si="0"/>
        <v>0</v>
      </c>
    </row>
    <row r="8" spans="1:15" x14ac:dyDescent="0.25">
      <c r="A8" s="32">
        <v>4</v>
      </c>
      <c r="B8" s="33" t="s">
        <v>42</v>
      </c>
      <c r="C8" s="62">
        <f>[1]STA_SP2_NO!$J$37</f>
        <v>0</v>
      </c>
      <c r="D8" s="118">
        <f>[2]STA_SP2_NO!$J$37</f>
        <v>0</v>
      </c>
      <c r="E8" s="61">
        <f>[3]STA_SP2_NO!$J$37</f>
        <v>0</v>
      </c>
      <c r="F8" s="118">
        <f>[4]STA_SP2_NO!$J$37</f>
        <v>0</v>
      </c>
      <c r="G8" s="143">
        <f>[5]STA_SP2_NO!$J$37</f>
        <v>0</v>
      </c>
      <c r="H8" s="118">
        <f>[6]STA_SP2_NO!$J$37</f>
        <v>0</v>
      </c>
      <c r="I8" s="143">
        <f>[7]STA_SP2_NO!$J$37</f>
        <v>0</v>
      </c>
      <c r="J8" s="118">
        <f>[8]STA_SP2_NO!$J$37</f>
        <v>0</v>
      </c>
      <c r="K8" s="143">
        <f>[9]STA_SP2_NO!$J$37</f>
        <v>0</v>
      </c>
      <c r="L8" s="387">
        <f>[10]STA_SP2_NO!$J$37</f>
        <v>0</v>
      </c>
      <c r="M8" s="394">
        <f>[11]STA_SP2_NO!$J$37</f>
        <v>0</v>
      </c>
      <c r="N8" s="397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[1]STA_SP2_NO!$J$38</f>
        <v>0</v>
      </c>
      <c r="D9" s="118">
        <f>[2]STA_SP2_NO!$J$38</f>
        <v>0</v>
      </c>
      <c r="E9" s="61">
        <f>[3]STA_SP2_NO!$J$38</f>
        <v>0</v>
      </c>
      <c r="F9" s="118">
        <f>[4]STA_SP2_NO!$J$38</f>
        <v>0</v>
      </c>
      <c r="G9" s="143">
        <f>[5]STA_SP2_NO!$J$38</f>
        <v>0</v>
      </c>
      <c r="H9" s="118">
        <f>[6]STA_SP2_NO!$J$38</f>
        <v>0</v>
      </c>
      <c r="I9" s="143">
        <f>[7]STA_SP2_NO!$J$38</f>
        <v>0</v>
      </c>
      <c r="J9" s="118">
        <f>[8]STA_SP2_NO!$J$38</f>
        <v>0</v>
      </c>
      <c r="K9" s="143">
        <f>[9]STA_SP2_NO!$J$38</f>
        <v>0</v>
      </c>
      <c r="L9" s="387">
        <f>[10]STA_SP2_NO!$J$38</f>
        <v>0</v>
      </c>
      <c r="M9" s="394">
        <f>[11]STA_SP2_NO!$J$38</f>
        <v>0</v>
      </c>
      <c r="N9" s="397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[1]STA_SP2_NO!$J$39</f>
        <v>0</v>
      </c>
      <c r="D10" s="118">
        <f>[2]STA_SP2_NO!$J$39</f>
        <v>0</v>
      </c>
      <c r="E10" s="61">
        <f>[3]STA_SP2_NO!$J$39</f>
        <v>0</v>
      </c>
      <c r="F10" s="118">
        <f>[4]STA_SP2_NO!$J$39</f>
        <v>0</v>
      </c>
      <c r="G10" s="143">
        <f>[5]STA_SP2_NO!$J$39</f>
        <v>0</v>
      </c>
      <c r="H10" s="118">
        <f>[6]STA_SP2_NO!$J$39</f>
        <v>0</v>
      </c>
      <c r="I10" s="143">
        <f>[7]STA_SP2_NO!$J$39</f>
        <v>0</v>
      </c>
      <c r="J10" s="118">
        <f>[8]STA_SP2_NO!$J$39</f>
        <v>0</v>
      </c>
      <c r="K10" s="143">
        <f>[9]STA_SP2_NO!$J$39</f>
        <v>0</v>
      </c>
      <c r="L10" s="387">
        <f>[10]STA_SP2_NO!$J$39</f>
        <v>0</v>
      </c>
      <c r="M10" s="394">
        <f>[11]STA_SP2_NO!$J$39</f>
        <v>0</v>
      </c>
      <c r="N10" s="397">
        <f t="shared" si="0"/>
        <v>0</v>
      </c>
    </row>
    <row r="11" spans="1:15" x14ac:dyDescent="0.25">
      <c r="A11" s="32">
        <v>7</v>
      </c>
      <c r="B11" s="33" t="s">
        <v>45</v>
      </c>
      <c r="C11" s="62">
        <f>[1]STA_SP2_NO!$J$40</f>
        <v>0</v>
      </c>
      <c r="D11" s="118">
        <f>[2]STA_SP2_NO!$J$40</f>
        <v>0</v>
      </c>
      <c r="E11" s="61">
        <f>[3]STA_SP2_NO!$J$40</f>
        <v>0</v>
      </c>
      <c r="F11" s="118">
        <f>[4]STA_SP2_NO!$J$40</f>
        <v>0</v>
      </c>
      <c r="G11" s="143">
        <f>[5]STA_SP2_NO!$J$40</f>
        <v>0</v>
      </c>
      <c r="H11" s="118">
        <f>[6]STA_SP2_NO!$J$40</f>
        <v>0</v>
      </c>
      <c r="I11" s="143">
        <f>[7]STA_SP2_NO!$J$40</f>
        <v>0</v>
      </c>
      <c r="J11" s="118">
        <f>[8]STA_SP2_NO!$J$40</f>
        <v>0</v>
      </c>
      <c r="K11" s="143">
        <f>[9]STA_SP2_NO!$J$40</f>
        <v>0</v>
      </c>
      <c r="L11" s="387">
        <f>[10]STA_SP2_NO!$J$40</f>
        <v>0</v>
      </c>
      <c r="M11" s="394">
        <f>[11]STA_SP2_NO!$J$40</f>
        <v>0</v>
      </c>
      <c r="N11" s="397">
        <f t="shared" si="0"/>
        <v>0</v>
      </c>
    </row>
    <row r="12" spans="1:15" ht="15.75" thickBot="1" x14ac:dyDescent="0.3">
      <c r="A12" s="34">
        <v>8</v>
      </c>
      <c r="B12" s="35" t="s">
        <v>46</v>
      </c>
      <c r="C12" s="62">
        <f>[1]STA_SP2_NO!$J$41</f>
        <v>0</v>
      </c>
      <c r="D12" s="118">
        <f>[2]STA_SP2_NO!$J$41</f>
        <v>0</v>
      </c>
      <c r="E12" s="61">
        <f>[3]STA_SP2_NO!$J$41</f>
        <v>0</v>
      </c>
      <c r="F12" s="118">
        <f>[4]STA_SP2_NO!$J$41</f>
        <v>0</v>
      </c>
      <c r="G12" s="143">
        <f>[5]STA_SP2_NO!$J$41</f>
        <v>0</v>
      </c>
      <c r="H12" s="118">
        <f>[6]STA_SP2_NO!$J$41</f>
        <v>0</v>
      </c>
      <c r="I12" s="143">
        <f>[7]STA_SP2_NO!$J$41</f>
        <v>0</v>
      </c>
      <c r="J12" s="118">
        <f>[8]STA_SP2_NO!$J$41</f>
        <v>0</v>
      </c>
      <c r="K12" s="143">
        <f>[9]STA_SP2_NO!$J$41</f>
        <v>0</v>
      </c>
      <c r="L12" s="387">
        <f>[10]STA_SP2_NO!$J$41</f>
        <v>0</v>
      </c>
      <c r="M12" s="394">
        <f>[11]STA_SP2_NO!$J$41</f>
        <v>0</v>
      </c>
      <c r="N12" s="397">
        <f t="shared" si="0"/>
        <v>0</v>
      </c>
    </row>
    <row r="13" spans="1:15" ht="15.75" thickBot="1" x14ac:dyDescent="0.3">
      <c r="A13" s="57"/>
      <c r="B13" s="37" t="s">
        <v>30</v>
      </c>
      <c r="C13" s="122">
        <f t="shared" ref="C13:F13" si="1">SUM(C5:C12)</f>
        <v>2</v>
      </c>
      <c r="D13" s="39">
        <f t="shared" si="1"/>
        <v>0</v>
      </c>
      <c r="E13" s="41">
        <f t="shared" si="1"/>
        <v>4</v>
      </c>
      <c r="F13" s="39">
        <f t="shared" si="1"/>
        <v>1</v>
      </c>
      <c r="G13" s="40">
        <f t="shared" ref="G13:N13" si="2">SUM(G5:G12)</f>
        <v>0</v>
      </c>
      <c r="H13" s="39">
        <f t="shared" si="2"/>
        <v>1</v>
      </c>
      <c r="I13" s="40">
        <f t="shared" si="2"/>
        <v>0</v>
      </c>
      <c r="J13" s="39">
        <f t="shared" si="2"/>
        <v>0</v>
      </c>
      <c r="K13" s="40">
        <f t="shared" si="2"/>
        <v>2</v>
      </c>
      <c r="L13" s="380">
        <f t="shared" si="2"/>
        <v>0</v>
      </c>
      <c r="M13" s="400">
        <f t="shared" si="2"/>
        <v>0</v>
      </c>
      <c r="N13" s="234">
        <f t="shared" si="2"/>
        <v>10</v>
      </c>
    </row>
    <row r="14" spans="1:15" ht="15.75" thickBot="1" x14ac:dyDescent="0.3"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542" t="s">
        <v>53</v>
      </c>
      <c r="B15" s="543"/>
      <c r="C15" s="72">
        <f>C13/N13</f>
        <v>0.2</v>
      </c>
      <c r="D15" s="71">
        <f>D13/N13</f>
        <v>0</v>
      </c>
      <c r="E15" s="70">
        <f>E13/N13</f>
        <v>0.4</v>
      </c>
      <c r="F15" s="47">
        <f>F13/N13</f>
        <v>0.1</v>
      </c>
      <c r="G15" s="48">
        <f>G13/N13</f>
        <v>0</v>
      </c>
      <c r="H15" s="56">
        <f>H13/N13</f>
        <v>0.1</v>
      </c>
      <c r="I15" s="48">
        <f>I13/N13</f>
        <v>0</v>
      </c>
      <c r="J15" s="56">
        <f>J13/N13</f>
        <v>0</v>
      </c>
      <c r="K15" s="48">
        <f>K13/N13</f>
        <v>0.2</v>
      </c>
      <c r="L15" s="56">
        <f>L13/N13</f>
        <v>0</v>
      </c>
      <c r="M15" s="342">
        <f>M13/N13</f>
        <v>0</v>
      </c>
      <c r="N15" s="251">
        <f>SUM(C15:M15)</f>
        <v>1</v>
      </c>
    </row>
    <row r="16" spans="1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B17" s="26"/>
      <c r="C17" s="460" t="s">
        <v>115</v>
      </c>
      <c r="D17" s="461"/>
      <c r="E17" s="461"/>
      <c r="F17" s="461"/>
      <c r="G17" s="461"/>
      <c r="H17" s="461"/>
      <c r="I17" s="461"/>
      <c r="J17" s="462"/>
      <c r="K17" s="462"/>
      <c r="L17" s="26"/>
      <c r="M17" s="26"/>
      <c r="N17" s="155" t="s">
        <v>36</v>
      </c>
    </row>
    <row r="18" spans="1:14" ht="15.75" thickBot="1" x14ac:dyDescent="0.3">
      <c r="A18" s="463" t="s">
        <v>0</v>
      </c>
      <c r="B18" s="465" t="s">
        <v>1</v>
      </c>
      <c r="C18" s="485" t="s">
        <v>2</v>
      </c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490" t="s">
        <v>3</v>
      </c>
    </row>
    <row r="19" spans="1:14" x14ac:dyDescent="0.25">
      <c r="A19" s="503"/>
      <c r="B19" s="504"/>
      <c r="C19" s="510" t="s">
        <v>69</v>
      </c>
      <c r="D19" s="504" t="s">
        <v>4</v>
      </c>
      <c r="E19" s="514" t="s">
        <v>5</v>
      </c>
      <c r="F19" s="465" t="s">
        <v>6</v>
      </c>
      <c r="G19" s="497" t="s">
        <v>8</v>
      </c>
      <c r="H19" s="465" t="s">
        <v>94</v>
      </c>
      <c r="I19" s="497" t="s">
        <v>9</v>
      </c>
      <c r="J19" s="507" t="s">
        <v>10</v>
      </c>
      <c r="K19" s="497" t="s">
        <v>93</v>
      </c>
      <c r="L19" s="465" t="s">
        <v>11</v>
      </c>
      <c r="M19" s="526" t="s">
        <v>96</v>
      </c>
      <c r="N19" s="536"/>
    </row>
    <row r="20" spans="1:14" ht="15.75" thickBot="1" x14ac:dyDescent="0.3">
      <c r="A20" s="498"/>
      <c r="B20" s="505"/>
      <c r="C20" s="512"/>
      <c r="D20" s="498"/>
      <c r="E20" s="498"/>
      <c r="F20" s="498"/>
      <c r="G20" s="506"/>
      <c r="H20" s="466"/>
      <c r="I20" s="506"/>
      <c r="J20" s="508"/>
      <c r="K20" s="506"/>
      <c r="L20" s="466"/>
      <c r="M20" s="527"/>
      <c r="N20" s="537"/>
    </row>
    <row r="21" spans="1:14" x14ac:dyDescent="0.25">
      <c r="A21" s="30">
        <v>1</v>
      </c>
      <c r="B21" s="31" t="s">
        <v>39</v>
      </c>
      <c r="C21" s="62">
        <f>[1]STA_SP2_NO!$K$34</f>
        <v>219.88</v>
      </c>
      <c r="D21" s="118">
        <f>[2]STA_SP2_NO!$K$34</f>
        <v>0</v>
      </c>
      <c r="E21" s="61">
        <f>[3]STA_SP2_NO!$K$34</f>
        <v>8240</v>
      </c>
      <c r="F21" s="118">
        <f>[4]STA_SP2_NO!$K$34</f>
        <v>142.15</v>
      </c>
      <c r="G21" s="143">
        <f>[5]STA_SP2_NO!$K$34</f>
        <v>0</v>
      </c>
      <c r="H21" s="118">
        <f>[6]STA_SP2_NO!$K$34</f>
        <v>0</v>
      </c>
      <c r="I21" s="143">
        <f>[7]STA_SP2_NO!$K$34</f>
        <v>0</v>
      </c>
      <c r="J21" s="118">
        <f>[8]STA_SP2_NO!$K$34</f>
        <v>0</v>
      </c>
      <c r="K21" s="143">
        <f>[9]STA_SP2_NO!$K$34</f>
        <v>312.72000000000003</v>
      </c>
      <c r="L21" s="387">
        <f>[10]STA_SP2_NO!$K$34</f>
        <v>0</v>
      </c>
      <c r="M21" s="394">
        <f>[11]STA_SP2_NO!$K$34</f>
        <v>0</v>
      </c>
      <c r="N21" s="397">
        <f t="shared" ref="N21:N28" si="3">SUM(C21:M21)</f>
        <v>8914.7499999999982</v>
      </c>
    </row>
    <row r="22" spans="1:14" x14ac:dyDescent="0.25">
      <c r="A22" s="32">
        <v>2</v>
      </c>
      <c r="B22" s="33" t="s">
        <v>40</v>
      </c>
      <c r="C22" s="62">
        <f>[1]STA_SP2_NO!$K$35</f>
        <v>0</v>
      </c>
      <c r="D22" s="118">
        <f>[2]STA_SP2_NO!$K$35</f>
        <v>0</v>
      </c>
      <c r="E22" s="61">
        <f>[3]STA_SP2_NO!$K$35</f>
        <v>55</v>
      </c>
      <c r="F22" s="118">
        <f>[4]STA_SP2_NO!$K$35</f>
        <v>0</v>
      </c>
      <c r="G22" s="143">
        <f>[5]STA_SP2_NO!$K$35</f>
        <v>0</v>
      </c>
      <c r="H22" s="118">
        <f>[6]STA_SP2_NO!$K$35</f>
        <v>61.68</v>
      </c>
      <c r="I22" s="143">
        <f>[7]STA_SP2_NO!$K$35</f>
        <v>0</v>
      </c>
      <c r="J22" s="118">
        <f>[8]STA_SP2_NO!$K$35</f>
        <v>0</v>
      </c>
      <c r="K22" s="143">
        <f>[9]STA_SP2_NO!$K$35</f>
        <v>0</v>
      </c>
      <c r="L22" s="387">
        <f>[10]STA_SP2_NO!$K$35</f>
        <v>0</v>
      </c>
      <c r="M22" s="394">
        <f>[11]STA_SP2_NO!$K$35</f>
        <v>0</v>
      </c>
      <c r="N22" s="397">
        <f t="shared" si="3"/>
        <v>116.68</v>
      </c>
    </row>
    <row r="23" spans="1:14" x14ac:dyDescent="0.25">
      <c r="A23" s="32">
        <v>3</v>
      </c>
      <c r="B23" s="33" t="s">
        <v>41</v>
      </c>
      <c r="C23" s="62">
        <f>[1]STA_SP2_NO!$K$36</f>
        <v>0</v>
      </c>
      <c r="D23" s="118">
        <f>[2]STA_SP2_NO!$K$36</f>
        <v>0</v>
      </c>
      <c r="E23" s="61">
        <f>[3]STA_SP2_NO!$K$36</f>
        <v>0</v>
      </c>
      <c r="F23" s="118">
        <f>[4]STA_SP2_NO!$K$36</f>
        <v>0</v>
      </c>
      <c r="G23" s="143">
        <f>[5]STA_SP2_NO!$K$36</f>
        <v>0</v>
      </c>
      <c r="H23" s="118">
        <f>[6]STA_SP2_NO!$K$36</f>
        <v>0</v>
      </c>
      <c r="I23" s="143">
        <f>[7]STA_SP2_NO!$K$36</f>
        <v>0</v>
      </c>
      <c r="J23" s="118">
        <f>[8]STA_SP2_NO!$K$36</f>
        <v>0</v>
      </c>
      <c r="K23" s="143">
        <f>[9]STA_SP2_NO!$K$36</f>
        <v>0</v>
      </c>
      <c r="L23" s="387">
        <f>[10]STA_SP2_NO!$K$36</f>
        <v>0</v>
      </c>
      <c r="M23" s="394">
        <f>[11]STA_SP2_NO!$K$36</f>
        <v>0</v>
      </c>
      <c r="N23" s="397">
        <f t="shared" si="3"/>
        <v>0</v>
      </c>
    </row>
    <row r="24" spans="1:14" x14ac:dyDescent="0.25">
      <c r="A24" s="32">
        <v>4</v>
      </c>
      <c r="B24" s="33" t="s">
        <v>42</v>
      </c>
      <c r="C24" s="62">
        <f>[1]STA_SP2_NO!$K$37</f>
        <v>0</v>
      </c>
      <c r="D24" s="118">
        <f>[2]STA_SP2_NO!$K$37</f>
        <v>0</v>
      </c>
      <c r="E24" s="61">
        <f>[3]STA_SP2_NO!$K$37</f>
        <v>0</v>
      </c>
      <c r="F24" s="118">
        <f>[4]STA_SP2_NO!$K$37</f>
        <v>0</v>
      </c>
      <c r="G24" s="143">
        <f>[5]STA_SP2_NO!$K$37</f>
        <v>0</v>
      </c>
      <c r="H24" s="118">
        <f>[6]STA_SP2_NO!$K$37</f>
        <v>0</v>
      </c>
      <c r="I24" s="143">
        <f>[7]STA_SP2_NO!$K$37</f>
        <v>0</v>
      </c>
      <c r="J24" s="118">
        <f>[8]STA_SP2_NO!$K$37</f>
        <v>0</v>
      </c>
      <c r="K24" s="143">
        <f>[9]STA_SP2_NO!$K$37</f>
        <v>0</v>
      </c>
      <c r="L24" s="387">
        <f>[10]STA_SP2_NO!$K$37</f>
        <v>0</v>
      </c>
      <c r="M24" s="394">
        <f>[11]STA_SP2_NO!$K$37</f>
        <v>0</v>
      </c>
      <c r="N24" s="397">
        <f t="shared" si="3"/>
        <v>0</v>
      </c>
    </row>
    <row r="25" spans="1:14" x14ac:dyDescent="0.25">
      <c r="A25" s="32">
        <v>5</v>
      </c>
      <c r="B25" s="33" t="s">
        <v>43</v>
      </c>
      <c r="C25" s="62">
        <f>[1]STA_SP2_NO!$K$38</f>
        <v>0</v>
      </c>
      <c r="D25" s="118">
        <f>[2]STA_SP2_NO!$K$38</f>
        <v>0</v>
      </c>
      <c r="E25" s="61">
        <f>[3]STA_SP2_NO!$K$38</f>
        <v>0</v>
      </c>
      <c r="F25" s="118">
        <f>[4]STA_SP2_NO!$K$38</f>
        <v>0</v>
      </c>
      <c r="G25" s="143">
        <f>[5]STA_SP2_NO!$K$38</f>
        <v>0</v>
      </c>
      <c r="H25" s="118">
        <f>[6]STA_SP2_NO!$K$38</f>
        <v>0</v>
      </c>
      <c r="I25" s="143">
        <f>[7]STA_SP2_NO!$K$38</f>
        <v>0</v>
      </c>
      <c r="J25" s="118">
        <f>[8]STA_SP2_NO!$K$38</f>
        <v>0</v>
      </c>
      <c r="K25" s="143">
        <f>[9]STA_SP2_NO!$K$38</f>
        <v>0</v>
      </c>
      <c r="L25" s="387">
        <f>[10]STA_SP2_NO!$K$38</f>
        <v>0</v>
      </c>
      <c r="M25" s="394">
        <f>[11]STA_SP2_NO!$K$38</f>
        <v>0</v>
      </c>
      <c r="N25" s="397">
        <f t="shared" si="3"/>
        <v>0</v>
      </c>
    </row>
    <row r="26" spans="1:14" x14ac:dyDescent="0.25">
      <c r="A26" s="32">
        <v>6</v>
      </c>
      <c r="B26" s="33" t="s">
        <v>44</v>
      </c>
      <c r="C26" s="62">
        <f>[1]STA_SP2_NO!$K$39</f>
        <v>0</v>
      </c>
      <c r="D26" s="118">
        <f>[2]STA_SP2_NO!$K$39</f>
        <v>0</v>
      </c>
      <c r="E26" s="61">
        <f>[3]STA_SP2_NO!$K$39</f>
        <v>0</v>
      </c>
      <c r="F26" s="118">
        <f>[4]STA_SP2_NO!$K$39</f>
        <v>0</v>
      </c>
      <c r="G26" s="143">
        <f>[5]STA_SP2_NO!$K$39</f>
        <v>0</v>
      </c>
      <c r="H26" s="118">
        <f>[6]STA_SP2_NO!$K$39</f>
        <v>0</v>
      </c>
      <c r="I26" s="143">
        <f>[7]STA_SP2_NO!$K$39</f>
        <v>0</v>
      </c>
      <c r="J26" s="118">
        <f>[8]STA_SP2_NO!$K$39</f>
        <v>0</v>
      </c>
      <c r="K26" s="143">
        <f>[9]STA_SP2_NO!$K$39</f>
        <v>0</v>
      </c>
      <c r="L26" s="387">
        <f>[10]STA_SP2_NO!$K$39</f>
        <v>0</v>
      </c>
      <c r="M26" s="394">
        <f>[11]STA_SP2_NO!$K$39</f>
        <v>0</v>
      </c>
      <c r="N26" s="397">
        <f t="shared" si="3"/>
        <v>0</v>
      </c>
    </row>
    <row r="27" spans="1:14" x14ac:dyDescent="0.25">
      <c r="A27" s="32">
        <v>7</v>
      </c>
      <c r="B27" s="33" t="s">
        <v>45</v>
      </c>
      <c r="C27" s="62">
        <f>[1]STA_SP2_NO!$K$40</f>
        <v>0</v>
      </c>
      <c r="D27" s="118">
        <f>[2]STA_SP2_NO!$K$40</f>
        <v>0</v>
      </c>
      <c r="E27" s="61">
        <f>[3]STA_SP2_NO!$K$40</f>
        <v>0</v>
      </c>
      <c r="F27" s="118">
        <f>[4]STA_SP2_NO!$K$40</f>
        <v>0</v>
      </c>
      <c r="G27" s="143">
        <f>[5]STA_SP2_NO!$K$40</f>
        <v>0</v>
      </c>
      <c r="H27" s="118">
        <f>[6]STA_SP2_NO!$K$40</f>
        <v>0</v>
      </c>
      <c r="I27" s="143">
        <f>[7]STA_SP2_NO!$K$40</f>
        <v>0</v>
      </c>
      <c r="J27" s="118">
        <f>[8]STA_SP2_NO!$K$40</f>
        <v>0</v>
      </c>
      <c r="K27" s="143">
        <f>[9]STA_SP2_NO!$K$40</f>
        <v>0</v>
      </c>
      <c r="L27" s="387">
        <f>[10]STA_SP2_NO!$K$40</f>
        <v>0</v>
      </c>
      <c r="M27" s="394">
        <f>[11]STA_SP2_NO!$K$40</f>
        <v>0</v>
      </c>
      <c r="N27" s="397">
        <f t="shared" si="3"/>
        <v>0</v>
      </c>
    </row>
    <row r="28" spans="1:14" ht="15.75" thickBot="1" x14ac:dyDescent="0.3">
      <c r="A28" s="34">
        <v>8</v>
      </c>
      <c r="B28" s="35" t="s">
        <v>46</v>
      </c>
      <c r="C28" s="62">
        <f>[1]STA_SP2_NO!$K$41</f>
        <v>0</v>
      </c>
      <c r="D28" s="118">
        <f>[2]STA_SP2_NO!$K$41</f>
        <v>0</v>
      </c>
      <c r="E28" s="61">
        <f>[3]STA_SP2_NO!$K$41</f>
        <v>0</v>
      </c>
      <c r="F28" s="118">
        <f>[4]STA_SP2_NO!$K$41</f>
        <v>0</v>
      </c>
      <c r="G28" s="143">
        <f>[5]STA_SP2_NO!$K$41</f>
        <v>0</v>
      </c>
      <c r="H28" s="118">
        <f>[6]STA_SP2_NO!$K$41</f>
        <v>0</v>
      </c>
      <c r="I28" s="143">
        <f>[7]STA_SP2_NO!$K$41</f>
        <v>0</v>
      </c>
      <c r="J28" s="118">
        <f>[8]STA_SP2_NO!$K$41</f>
        <v>0</v>
      </c>
      <c r="K28" s="143">
        <f>[9]STA_SP2_NO!$K$41</f>
        <v>0</v>
      </c>
      <c r="L28" s="387">
        <f>[10]STA_SP2_NO!$K$41</f>
        <v>0</v>
      </c>
      <c r="M28" s="394">
        <f>[11]STA_SP2_NO!$K$41</f>
        <v>0</v>
      </c>
      <c r="N28" s="397">
        <f t="shared" si="3"/>
        <v>0</v>
      </c>
    </row>
    <row r="29" spans="1:14" ht="15.75" thickBot="1" x14ac:dyDescent="0.3">
      <c r="A29" s="36"/>
      <c r="B29" s="37" t="s">
        <v>37</v>
      </c>
      <c r="C29" s="73">
        <f t="shared" ref="C29:F29" si="4">SUM(C21:C28)</f>
        <v>219.88</v>
      </c>
      <c r="D29" s="39">
        <f t="shared" si="4"/>
        <v>0</v>
      </c>
      <c r="E29" s="73">
        <f t="shared" si="4"/>
        <v>8295</v>
      </c>
      <c r="F29" s="39">
        <f t="shared" si="4"/>
        <v>142.15</v>
      </c>
      <c r="G29" s="392">
        <f t="shared" ref="G29:N29" si="5">SUM(G21:G28)</f>
        <v>0</v>
      </c>
      <c r="H29" s="51">
        <f t="shared" si="5"/>
        <v>61.68</v>
      </c>
      <c r="I29" s="41">
        <f t="shared" si="5"/>
        <v>0</v>
      </c>
      <c r="J29" s="51">
        <f t="shared" si="5"/>
        <v>0</v>
      </c>
      <c r="K29" s="41">
        <f t="shared" si="5"/>
        <v>312.72000000000003</v>
      </c>
      <c r="L29" s="338">
        <f t="shared" si="5"/>
        <v>0</v>
      </c>
      <c r="M29" s="400">
        <f t="shared" si="5"/>
        <v>0</v>
      </c>
      <c r="N29" s="234">
        <f t="shared" si="5"/>
        <v>9031.4299999999985</v>
      </c>
    </row>
    <row r="30" spans="1:14" ht="15.75" thickBot="1" x14ac:dyDescent="0.3"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8"/>
      <c r="N30" s="1"/>
    </row>
    <row r="31" spans="1:14" ht="15.75" thickBot="1" x14ac:dyDescent="0.3">
      <c r="A31" s="542" t="s">
        <v>53</v>
      </c>
      <c r="B31" s="543"/>
      <c r="C31" s="70">
        <f>C29/N29</f>
        <v>2.4346089157530983E-2</v>
      </c>
      <c r="D31" s="71">
        <f>D29/N29</f>
        <v>0</v>
      </c>
      <c r="E31" s="70">
        <f>E29/N29</f>
        <v>0.91845920302764916</v>
      </c>
      <c r="F31" s="71">
        <f>F29/N29</f>
        <v>1.5739478687206793E-2</v>
      </c>
      <c r="G31" s="55">
        <f>G29/N29</f>
        <v>0</v>
      </c>
      <c r="H31" s="56">
        <f>H29/N29</f>
        <v>6.8294832601260274E-3</v>
      </c>
      <c r="I31" s="55">
        <f>I29/N29</f>
        <v>0</v>
      </c>
      <c r="J31" s="56">
        <f>J29/N29</f>
        <v>0</v>
      </c>
      <c r="K31" s="55">
        <f>K29/N29</f>
        <v>3.462574586748722E-2</v>
      </c>
      <c r="L31" s="56">
        <f>L29/N29</f>
        <v>0</v>
      </c>
      <c r="M31" s="342">
        <f>M29/N29</f>
        <v>0</v>
      </c>
      <c r="N31" s="261">
        <f>SUM(C31:M31)</f>
        <v>1.0000000000000002</v>
      </c>
    </row>
  </sheetData>
  <mergeCells count="34">
    <mergeCell ref="A31:B31"/>
    <mergeCell ref="C17:K17"/>
    <mergeCell ref="A18:A20"/>
    <mergeCell ref="B18:B20"/>
    <mergeCell ref="A2:A4"/>
    <mergeCell ref="A15:B15"/>
    <mergeCell ref="C2:M2"/>
    <mergeCell ref="N18:N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C18:M18"/>
    <mergeCell ref="C1:K1"/>
    <mergeCell ref="B2:B4"/>
    <mergeCell ref="N2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R21" sqref="R21"/>
    </sheetView>
  </sheetViews>
  <sheetFormatPr defaultRowHeight="15" x14ac:dyDescent="0.25"/>
  <cols>
    <col min="1" max="1" width="4.42578125" customWidth="1"/>
    <col min="2" max="2" width="27.85546875" customWidth="1"/>
    <col min="3" max="3" width="9.140625" customWidth="1"/>
    <col min="4" max="4" width="9.85546875" bestFit="1" customWidth="1"/>
    <col min="8" max="8" width="9.85546875" bestFit="1" customWidth="1"/>
  </cols>
  <sheetData>
    <row r="1" spans="1:14" ht="33.75" customHeight="1" thickBot="1" x14ac:dyDescent="0.3">
      <c r="A1" s="26"/>
      <c r="B1" s="26"/>
      <c r="C1" s="460" t="s">
        <v>116</v>
      </c>
      <c r="D1" s="461"/>
      <c r="E1" s="461"/>
      <c r="F1" s="461"/>
      <c r="G1" s="461"/>
      <c r="H1" s="461"/>
      <c r="I1" s="461"/>
      <c r="J1" s="26"/>
      <c r="K1" s="26"/>
      <c r="L1" s="26"/>
      <c r="M1" s="26"/>
      <c r="N1" s="157" t="s">
        <v>36</v>
      </c>
    </row>
    <row r="2" spans="1:14" ht="15.75" thickBot="1" x14ac:dyDescent="0.3">
      <c r="A2" s="463" t="s">
        <v>0</v>
      </c>
      <c r="B2" s="465" t="s">
        <v>1</v>
      </c>
      <c r="C2" s="482" t="s">
        <v>2</v>
      </c>
      <c r="D2" s="483"/>
      <c r="E2" s="483"/>
      <c r="F2" s="483"/>
      <c r="G2" s="483"/>
      <c r="H2" s="483"/>
      <c r="I2" s="483"/>
      <c r="J2" s="483"/>
      <c r="K2" s="483"/>
      <c r="L2" s="483"/>
      <c r="M2" s="546"/>
      <c r="N2" s="467" t="s">
        <v>3</v>
      </c>
    </row>
    <row r="3" spans="1:14" ht="15.75" thickBot="1" x14ac:dyDescent="0.3">
      <c r="A3" s="464"/>
      <c r="B3" s="481"/>
      <c r="C3" s="354" t="s">
        <v>69</v>
      </c>
      <c r="D3" s="344" t="s">
        <v>4</v>
      </c>
      <c r="E3" s="355" t="s">
        <v>5</v>
      </c>
      <c r="F3" s="344" t="s">
        <v>6</v>
      </c>
      <c r="G3" s="357" t="s">
        <v>8</v>
      </c>
      <c r="H3" s="356" t="s">
        <v>94</v>
      </c>
      <c r="I3" s="357" t="s">
        <v>9</v>
      </c>
      <c r="J3" s="372" t="s">
        <v>10</v>
      </c>
      <c r="K3" s="357" t="s">
        <v>93</v>
      </c>
      <c r="L3" s="407" t="s">
        <v>11</v>
      </c>
      <c r="M3" s="357" t="s">
        <v>96</v>
      </c>
      <c r="N3" s="544"/>
    </row>
    <row r="4" spans="1:14" x14ac:dyDescent="0.25">
      <c r="A4" s="30">
        <v>1</v>
      </c>
      <c r="B4" s="351" t="s">
        <v>12</v>
      </c>
      <c r="C4" s="370">
        <f>[1]STA_SP4_NO!$P$10</f>
        <v>63660.75</v>
      </c>
      <c r="D4" s="402">
        <f>[2]STA_SP4_NO!$P$10</f>
        <v>69496.240000000005</v>
      </c>
      <c r="E4" s="370">
        <f>[3]STA_SP4_NO!$P$10</f>
        <v>14723</v>
      </c>
      <c r="F4" s="54">
        <f>[4]STA_SP4_NO!$P$10</f>
        <v>35451.129999999997</v>
      </c>
      <c r="G4" s="62">
        <f>[5]STA_SP4_NO!$P$10</f>
        <v>49195</v>
      </c>
      <c r="H4" s="54">
        <f>[6]STA_SP4_NO!$P$10</f>
        <v>11966</v>
      </c>
      <c r="I4" s="62">
        <f>[7]STA_SP4_NO!$P$10</f>
        <v>26576</v>
      </c>
      <c r="J4" s="54">
        <f>[8]STA_SP4_NO!$P$10</f>
        <v>18656</v>
      </c>
      <c r="K4" s="62">
        <f>[9]STA_SP4_NO!$P$10</f>
        <v>29943.22</v>
      </c>
      <c r="L4" s="54">
        <f>[10]STA_SP4_NO!$P$10</f>
        <v>51083</v>
      </c>
      <c r="M4" s="405">
        <f>[11]STA_SP4_NO!$P$10</f>
        <v>750.76</v>
      </c>
      <c r="N4" s="403">
        <f t="shared" ref="N4:N22" si="0">SUM(C4:M4)</f>
        <v>371501.1</v>
      </c>
    </row>
    <row r="5" spans="1:14" x14ac:dyDescent="0.25">
      <c r="A5" s="32">
        <v>2</v>
      </c>
      <c r="B5" s="352" t="s">
        <v>13</v>
      </c>
      <c r="C5" s="370">
        <f>[1]STA_SP4_NO!$P$11</f>
        <v>102972.91</v>
      </c>
      <c r="D5" s="402">
        <f>[2]STA_SP4_NO!$P$11</f>
        <v>125021.03</v>
      </c>
      <c r="E5" s="370">
        <f>[3]STA_SP4_NO!$P$11</f>
        <v>11317</v>
      </c>
      <c r="F5" s="54">
        <f>[4]STA_SP4_NO!$P$11</f>
        <v>67598.720000000001</v>
      </c>
      <c r="G5" s="62">
        <f>[5]STA_SP4_NO!$P$11</f>
        <v>127468</v>
      </c>
      <c r="H5" s="54">
        <f>[6]STA_SP4_NO!$P$11</f>
        <v>0</v>
      </c>
      <c r="I5" s="62">
        <f>[7]STA_SP4_NO!$P$11</f>
        <v>52998</v>
      </c>
      <c r="J5" s="54">
        <f>[8]STA_SP4_NO!$P$11</f>
        <v>0</v>
      </c>
      <c r="K5" s="62">
        <f>[9]STA_SP4_NO!$P$11</f>
        <v>71046.42</v>
      </c>
      <c r="L5" s="54">
        <f>[10]STA_SP4_NO!$P$11</f>
        <v>140293</v>
      </c>
      <c r="M5" s="408">
        <f>[11]STA_SP4_NO!$P$11</f>
        <v>0</v>
      </c>
      <c r="N5" s="403">
        <f t="shared" si="0"/>
        <v>698715.08000000007</v>
      </c>
    </row>
    <row r="6" spans="1:14" x14ac:dyDescent="0.25">
      <c r="A6" s="32">
        <v>3</v>
      </c>
      <c r="B6" s="352" t="s">
        <v>14</v>
      </c>
      <c r="C6" s="370">
        <f>[1]STA_SP4_NO!$P$12</f>
        <v>64710.78</v>
      </c>
      <c r="D6" s="402">
        <f>[2]STA_SP4_NO!$P$12</f>
        <v>68211.8</v>
      </c>
      <c r="E6" s="370">
        <f>[3]STA_SP4_NO!$P$12</f>
        <v>30774</v>
      </c>
      <c r="F6" s="54">
        <f>[4]STA_SP4_NO!$P$12</f>
        <v>111492.41</v>
      </c>
      <c r="G6" s="62">
        <f>[5]STA_SP4_NO!$P$12</f>
        <v>70994</v>
      </c>
      <c r="H6" s="54">
        <f>[6]STA_SP4_NO!$P$12</f>
        <v>8837</v>
      </c>
      <c r="I6" s="62">
        <f>[7]STA_SP4_NO!$P$12</f>
        <v>42909</v>
      </c>
      <c r="J6" s="54">
        <f>[8]STA_SP4_NO!$P$12</f>
        <v>44182</v>
      </c>
      <c r="K6" s="62">
        <f>[9]STA_SP4_NO!$P$12</f>
        <v>46921.33</v>
      </c>
      <c r="L6" s="54">
        <f>[10]STA_SP4_NO!$P$12</f>
        <v>49756</v>
      </c>
      <c r="M6" s="405">
        <f>[11]STA_SP4_NO!$P$12</f>
        <v>2472.61</v>
      </c>
      <c r="N6" s="403">
        <f t="shared" si="0"/>
        <v>541260.93000000005</v>
      </c>
    </row>
    <row r="7" spans="1:14" x14ac:dyDescent="0.25">
      <c r="A7" s="32">
        <v>4</v>
      </c>
      <c r="B7" s="352" t="s">
        <v>15</v>
      </c>
      <c r="C7" s="370">
        <f>[1]STA_SP4_NO!$P$13</f>
        <v>0</v>
      </c>
      <c r="D7" s="402">
        <f>[2]STA_SP4_NO!$P$13</f>
        <v>0</v>
      </c>
      <c r="E7" s="370">
        <f>[3]STA_SP4_NO!$P$13</f>
        <v>0</v>
      </c>
      <c r="F7" s="54">
        <f>[4]STA_SP4_NO!$P$13</f>
        <v>0</v>
      </c>
      <c r="G7" s="62">
        <f>[5]STA_SP4_NO!$P$13</f>
        <v>0</v>
      </c>
      <c r="H7" s="54">
        <f>[6]STA_SP4_NO!$P$13</f>
        <v>0</v>
      </c>
      <c r="I7" s="62">
        <f>[7]STA_SP4_NO!$P$13</f>
        <v>0</v>
      </c>
      <c r="J7" s="54">
        <f>[8]STA_SP4_NO!$P$13</f>
        <v>0</v>
      </c>
      <c r="K7" s="62">
        <f>[9]STA_SP4_NO!$P$13</f>
        <v>0</v>
      </c>
      <c r="L7" s="54">
        <f>[10]STA_SP4_NO!$P$13</f>
        <v>0</v>
      </c>
      <c r="M7" s="409">
        <f>[11]STA_SP4_NO!$P$13</f>
        <v>0</v>
      </c>
      <c r="N7" s="403">
        <f t="shared" si="0"/>
        <v>0</v>
      </c>
    </row>
    <row r="8" spans="1:14" x14ac:dyDescent="0.25">
      <c r="A8" s="32">
        <v>5</v>
      </c>
      <c r="B8" s="352" t="s">
        <v>16</v>
      </c>
      <c r="C8" s="370">
        <f>[1]STA_SP4_NO!$P$14</f>
        <v>0</v>
      </c>
      <c r="D8" s="402">
        <f>[2]STA_SP4_NO!$P$14</f>
        <v>0</v>
      </c>
      <c r="E8" s="370">
        <f>[3]STA_SP4_NO!$P$14</f>
        <v>0</v>
      </c>
      <c r="F8" s="54">
        <f>[4]STA_SP4_NO!$P$14</f>
        <v>0</v>
      </c>
      <c r="G8" s="62">
        <f>[5]STA_SP4_NO!$P$14</f>
        <v>57041</v>
      </c>
      <c r="H8" s="54">
        <f>[6]STA_SP4_NO!$P$14</f>
        <v>0</v>
      </c>
      <c r="I8" s="62">
        <f>[7]STA_SP4_NO!$P$14</f>
        <v>0</v>
      </c>
      <c r="J8" s="54">
        <f>[8]STA_SP4_NO!$P$14</f>
        <v>393</v>
      </c>
      <c r="K8" s="62">
        <f>[9]STA_SP4_NO!$P$14</f>
        <v>0</v>
      </c>
      <c r="L8" s="54">
        <f>[10]STA_SP4_NO!$P$14</f>
        <v>713</v>
      </c>
      <c r="M8" s="409">
        <f>[11]STA_SP4_NO!$P$14</f>
        <v>0</v>
      </c>
      <c r="N8" s="403">
        <f t="shared" si="0"/>
        <v>58147</v>
      </c>
    </row>
    <row r="9" spans="1:14" x14ac:dyDescent="0.25">
      <c r="A9" s="32">
        <v>6</v>
      </c>
      <c r="B9" s="352" t="s">
        <v>17</v>
      </c>
      <c r="C9" s="370">
        <f>[1]STA_SP4_NO!$P$15</f>
        <v>81.150000000000006</v>
      </c>
      <c r="D9" s="402">
        <f>[2]STA_SP4_NO!$P$15</f>
        <v>34.24</v>
      </c>
      <c r="E9" s="370">
        <f>[3]STA_SP4_NO!$P$15</f>
        <v>0</v>
      </c>
      <c r="F9" s="54">
        <f>[4]STA_SP4_NO!$P$15</f>
        <v>738</v>
      </c>
      <c r="G9" s="62">
        <f>[5]STA_SP4_NO!$P$15</f>
        <v>0</v>
      </c>
      <c r="H9" s="54">
        <f>[6]STA_SP4_NO!$P$15</f>
        <v>0</v>
      </c>
      <c r="I9" s="62">
        <f>[7]STA_SP4_NO!$P$15</f>
        <v>30</v>
      </c>
      <c r="J9" s="54">
        <f>[8]STA_SP4_NO!$P$15</f>
        <v>108</v>
      </c>
      <c r="K9" s="62">
        <f>[9]STA_SP4_NO!$P$15</f>
        <v>16.84</v>
      </c>
      <c r="L9" s="54">
        <f>[10]STA_SP4_NO!$P$15</f>
        <v>0</v>
      </c>
      <c r="M9" s="409">
        <f>[11]STA_SP4_NO!$P$15</f>
        <v>0</v>
      </c>
      <c r="N9" s="403">
        <f t="shared" si="0"/>
        <v>1008.23</v>
      </c>
    </row>
    <row r="10" spans="1:14" x14ac:dyDescent="0.25">
      <c r="A10" s="32">
        <v>7</v>
      </c>
      <c r="B10" s="352" t="s">
        <v>18</v>
      </c>
      <c r="C10" s="370">
        <f>[1]STA_SP4_NO!$P$16</f>
        <v>9354.2900000000009</v>
      </c>
      <c r="D10" s="402">
        <f>[2]STA_SP4_NO!$P$16</f>
        <v>16936.5</v>
      </c>
      <c r="E10" s="370">
        <f>[3]STA_SP4_NO!$P$16</f>
        <v>5741</v>
      </c>
      <c r="F10" s="54">
        <f>[4]STA_SP4_NO!$P$16</f>
        <v>1687.16</v>
      </c>
      <c r="G10" s="62">
        <f>[5]STA_SP4_NO!$P$16</f>
        <v>2509</v>
      </c>
      <c r="H10" s="54">
        <f>[6]STA_SP4_NO!$P$16</f>
        <v>0</v>
      </c>
      <c r="I10" s="62">
        <f>[7]STA_SP4_NO!$P$16</f>
        <v>6105</v>
      </c>
      <c r="J10" s="54">
        <f>[8]STA_SP4_NO!$P$16</f>
        <v>1307</v>
      </c>
      <c r="K10" s="62">
        <f>[9]STA_SP4_NO!$P$16</f>
        <v>616.37</v>
      </c>
      <c r="L10" s="54">
        <f>[10]STA_SP4_NO!$P$16</f>
        <v>2111</v>
      </c>
      <c r="M10" s="409">
        <f>[11]STA_SP4_NO!$P$16</f>
        <v>0</v>
      </c>
      <c r="N10" s="403">
        <f t="shared" si="0"/>
        <v>46367.320000000007</v>
      </c>
    </row>
    <row r="11" spans="1:14" x14ac:dyDescent="0.25">
      <c r="A11" s="32">
        <v>8</v>
      </c>
      <c r="B11" s="352" t="s">
        <v>19</v>
      </c>
      <c r="C11" s="370">
        <f>[1]STA_SP4_NO!$P$17</f>
        <v>94435.87</v>
      </c>
      <c r="D11" s="402">
        <f>[2]STA_SP4_NO!$P$17</f>
        <v>37487.360000000001</v>
      </c>
      <c r="E11" s="370">
        <f>[3]STA_SP4_NO!$P$17</f>
        <v>21419</v>
      </c>
      <c r="F11" s="54">
        <f>[4]STA_SP4_NO!$P$17</f>
        <v>46488.72</v>
      </c>
      <c r="G11" s="62">
        <f>[5]STA_SP4_NO!$P$17</f>
        <v>400039</v>
      </c>
      <c r="H11" s="54">
        <f>[6]STA_SP4_NO!$P$17</f>
        <v>1678</v>
      </c>
      <c r="I11" s="62">
        <f>[7]STA_SP4_NO!$P$17</f>
        <v>23165</v>
      </c>
      <c r="J11" s="54">
        <f>[8]STA_SP4_NO!$P$17</f>
        <v>22812</v>
      </c>
      <c r="K11" s="62">
        <f>[9]STA_SP4_NO!$P$17</f>
        <v>25778.240000000002</v>
      </c>
      <c r="L11" s="54">
        <f>[10]STA_SP4_NO!$P$17</f>
        <v>28554</v>
      </c>
      <c r="M11" s="405">
        <f>[11]STA_SP4_NO!$P$17</f>
        <v>70.17</v>
      </c>
      <c r="N11" s="403">
        <f t="shared" si="0"/>
        <v>701927.36</v>
      </c>
    </row>
    <row r="12" spans="1:14" x14ac:dyDescent="0.25">
      <c r="A12" s="32">
        <v>9</v>
      </c>
      <c r="B12" s="352" t="s">
        <v>20</v>
      </c>
      <c r="C12" s="370">
        <f>[1]STA_SP4_NO!$P$20</f>
        <v>157631.65</v>
      </c>
      <c r="D12" s="402">
        <f>[2]STA_SP4_NO!$P$20</f>
        <v>95540.07</v>
      </c>
      <c r="E12" s="370">
        <f>[3]STA_SP4_NO!$P$20</f>
        <v>25465</v>
      </c>
      <c r="F12" s="54">
        <f>[4]STA_SP4_NO!$P$20</f>
        <v>89503.35</v>
      </c>
      <c r="G12" s="62">
        <f>[5]STA_SP4_NO!$P$20</f>
        <v>233428</v>
      </c>
      <c r="H12" s="54">
        <f>[6]STA_SP4_NO!$P$20</f>
        <v>632</v>
      </c>
      <c r="I12" s="62">
        <f>[7]STA_SP4_NO!$P$20</f>
        <v>100782</v>
      </c>
      <c r="J12" s="54">
        <f>[8]STA_SP4_NO!$P$20</f>
        <v>13118</v>
      </c>
      <c r="K12" s="62">
        <f>[9]STA_SP4_NO!$P$20</f>
        <v>43593.919999999998</v>
      </c>
      <c r="L12" s="54">
        <f>[10]STA_SP4_NO!$P$20</f>
        <v>38371</v>
      </c>
      <c r="M12" s="405">
        <f>[11]STA_SP4_NO!$P$20</f>
        <v>60.99</v>
      </c>
      <c r="N12" s="403">
        <f t="shared" si="0"/>
        <v>798125.98</v>
      </c>
    </row>
    <row r="13" spans="1:14" x14ac:dyDescent="0.25">
      <c r="A13" s="32">
        <v>10</v>
      </c>
      <c r="B13" s="352" t="s">
        <v>21</v>
      </c>
      <c r="C13" s="370">
        <f>[1]STA_SP4_NO!$P$26</f>
        <v>322555.36</v>
      </c>
      <c r="D13" s="402">
        <f>[2]STA_SP4_NO!$P$26</f>
        <v>179114.48</v>
      </c>
      <c r="E13" s="370">
        <f>[3]STA_SP4_NO!$P$26</f>
        <v>148857</v>
      </c>
      <c r="F13" s="54">
        <f>[4]STA_SP4_NO!$P$26</f>
        <v>217537.94</v>
      </c>
      <c r="G13" s="62">
        <f>[5]STA_SP4_NO!$P$26</f>
        <v>184517</v>
      </c>
      <c r="H13" s="54">
        <f>[6]STA_SP4_NO!$P$26</f>
        <v>209633</v>
      </c>
      <c r="I13" s="62">
        <f>[7]STA_SP4_NO!$P$26</f>
        <v>398157</v>
      </c>
      <c r="J13" s="54">
        <f>[8]STA_SP4_NO!$P$26</f>
        <v>202606</v>
      </c>
      <c r="K13" s="62">
        <f>[9]STA_SP4_NO!$P$26</f>
        <v>141902.56</v>
      </c>
      <c r="L13" s="54">
        <f>[10]STA_SP4_NO!$P$26</f>
        <v>249587</v>
      </c>
      <c r="M13" s="405">
        <f>[11]STA_SP4_NO!$P$26</f>
        <v>22407.59</v>
      </c>
      <c r="N13" s="403">
        <f t="shared" si="0"/>
        <v>2276874.9299999997</v>
      </c>
    </row>
    <row r="14" spans="1:14" x14ac:dyDescent="0.25">
      <c r="A14" s="32">
        <v>11</v>
      </c>
      <c r="B14" s="352" t="s">
        <v>22</v>
      </c>
      <c r="C14" s="370">
        <f>[1]STA_SP4_NO!$P$33</f>
        <v>35.22</v>
      </c>
      <c r="D14" s="402">
        <f>[2]STA_SP4_NO!$P$33</f>
        <v>295.05</v>
      </c>
      <c r="E14" s="370">
        <f>[3]STA_SP4_NO!$P$33</f>
        <v>0</v>
      </c>
      <c r="F14" s="54">
        <f>[4]STA_SP4_NO!$P$33</f>
        <v>0</v>
      </c>
      <c r="G14" s="62">
        <f>[5]STA_SP4_NO!$P$33</f>
        <v>6140</v>
      </c>
      <c r="H14" s="54">
        <f>[6]STA_SP4_NO!$P$33</f>
        <v>0</v>
      </c>
      <c r="I14" s="62">
        <f>[7]STA_SP4_NO!$P$33</f>
        <v>0</v>
      </c>
      <c r="J14" s="54">
        <f>[8]STA_SP4_NO!$P$33</f>
        <v>869</v>
      </c>
      <c r="K14" s="62">
        <f>[9]STA_SP4_NO!$P$33</f>
        <v>0</v>
      </c>
      <c r="L14" s="54">
        <f>[10]STA_SP4_NO!$P$33</f>
        <v>454</v>
      </c>
      <c r="M14" s="409">
        <f>[11]STA_SP4_NO!$P$33</f>
        <v>0</v>
      </c>
      <c r="N14" s="403">
        <f t="shared" si="0"/>
        <v>7793.27</v>
      </c>
    </row>
    <row r="15" spans="1:14" x14ac:dyDescent="0.25">
      <c r="A15" s="32">
        <v>12</v>
      </c>
      <c r="B15" s="352" t="s">
        <v>23</v>
      </c>
      <c r="C15" s="370">
        <f>[1]STA_SP4_NO!$P$34</f>
        <v>260.10000000000002</v>
      </c>
      <c r="D15" s="402">
        <f>[2]STA_SP4_NO!$P$34</f>
        <v>117.82</v>
      </c>
      <c r="E15" s="370">
        <f>[3]STA_SP4_NO!$P$34</f>
        <v>22</v>
      </c>
      <c r="F15" s="54">
        <f>[4]STA_SP4_NO!$P$34</f>
        <v>489.67</v>
      </c>
      <c r="G15" s="62">
        <f>[5]STA_SP4_NO!$P$34</f>
        <v>315</v>
      </c>
      <c r="H15" s="54">
        <f>[6]STA_SP4_NO!$P$34</f>
        <v>0</v>
      </c>
      <c r="I15" s="62">
        <f>[7]STA_SP4_NO!$P$34</f>
        <v>154</v>
      </c>
      <c r="J15" s="54">
        <f>[8]STA_SP4_NO!$P$34</f>
        <v>168</v>
      </c>
      <c r="K15" s="62">
        <f>[9]STA_SP4_NO!$P$34</f>
        <v>159.84</v>
      </c>
      <c r="L15" s="54">
        <f>[10]STA_SP4_NO!$P$34</f>
        <v>48</v>
      </c>
      <c r="M15" s="409">
        <f>[11]STA_SP4_NO!$P$34</f>
        <v>0</v>
      </c>
      <c r="N15" s="403">
        <f t="shared" si="0"/>
        <v>1734.43</v>
      </c>
    </row>
    <row r="16" spans="1:14" x14ac:dyDescent="0.25">
      <c r="A16" s="32">
        <v>13</v>
      </c>
      <c r="B16" s="352" t="s">
        <v>68</v>
      </c>
      <c r="C16" s="370">
        <f>[1]STA_SP4_NO!$P$35</f>
        <v>15161.61</v>
      </c>
      <c r="D16" s="402">
        <f>[2]STA_SP4_NO!$P$35</f>
        <v>27792.799999999999</v>
      </c>
      <c r="E16" s="370">
        <f>[3]STA_SP4_NO!$P$35</f>
        <v>2491</v>
      </c>
      <c r="F16" s="54">
        <f>[4]STA_SP4_NO!$P$35</f>
        <v>11144.71</v>
      </c>
      <c r="G16" s="62">
        <f>[5]STA_SP4_NO!$P$35</f>
        <v>104304</v>
      </c>
      <c r="H16" s="54">
        <f>[6]STA_SP4_NO!$P$35</f>
        <v>401</v>
      </c>
      <c r="I16" s="62">
        <f>[7]STA_SP4_NO!$P$35</f>
        <v>24087</v>
      </c>
      <c r="J16" s="54">
        <f>[8]STA_SP4_NO!$P$35</f>
        <v>8624</v>
      </c>
      <c r="K16" s="62">
        <f>[9]STA_SP4_NO!$P$35</f>
        <v>34098.080000000002</v>
      </c>
      <c r="L16" s="54">
        <f>[10]STA_SP4_NO!$P$35</f>
        <v>8088</v>
      </c>
      <c r="M16" s="405">
        <f>[11]STA_SP4_NO!$P$35</f>
        <v>39.75</v>
      </c>
      <c r="N16" s="403">
        <f t="shared" si="0"/>
        <v>236231.95</v>
      </c>
    </row>
    <row r="17" spans="1:14" x14ac:dyDescent="0.25">
      <c r="A17" s="32">
        <v>14</v>
      </c>
      <c r="B17" s="352" t="s">
        <v>25</v>
      </c>
      <c r="C17" s="370">
        <f>[1]STA_SP4_NO!$P$36</f>
        <v>5353.57</v>
      </c>
      <c r="D17" s="402">
        <f>[2]STA_SP4_NO!$P$36</f>
        <v>23802.32</v>
      </c>
      <c r="E17" s="370">
        <f>[3]STA_SP4_NO!$P$36</f>
        <v>302</v>
      </c>
      <c r="F17" s="54">
        <f>[4]STA_SP4_NO!$P$36</f>
        <v>3150.46</v>
      </c>
      <c r="G17" s="62">
        <f>[5]STA_SP4_NO!$P$36</f>
        <v>0</v>
      </c>
      <c r="H17" s="54">
        <f>[6]STA_SP4_NO!$P$36</f>
        <v>0</v>
      </c>
      <c r="I17" s="62">
        <f>[7]STA_SP4_NO!$P$36</f>
        <v>0</v>
      </c>
      <c r="J17" s="54">
        <f>[8]STA_SP4_NO!$P$36</f>
        <v>0</v>
      </c>
      <c r="K17" s="62">
        <f>[9]STA_SP4_NO!$P$36</f>
        <v>32775.43</v>
      </c>
      <c r="L17" s="54">
        <f>[10]STA_SP4_NO!$P$36</f>
        <v>1425</v>
      </c>
      <c r="M17" s="409">
        <f>[11]STA_SP4_NO!$P$36</f>
        <v>0</v>
      </c>
      <c r="N17" s="403">
        <f t="shared" si="0"/>
        <v>66808.78</v>
      </c>
    </row>
    <row r="18" spans="1:14" x14ac:dyDescent="0.25">
      <c r="A18" s="32">
        <v>15</v>
      </c>
      <c r="B18" s="352" t="s">
        <v>26</v>
      </c>
      <c r="C18" s="370">
        <f>[1]STA_SP4_NO!$P$37</f>
        <v>0</v>
      </c>
      <c r="D18" s="402">
        <f>[2]STA_SP4_NO!$P$37</f>
        <v>0</v>
      </c>
      <c r="E18" s="370">
        <f>[3]STA_SP4_NO!$P$37</f>
        <v>244</v>
      </c>
      <c r="F18" s="54">
        <f>[4]STA_SP4_NO!$P$37</f>
        <v>0</v>
      </c>
      <c r="G18" s="62">
        <f>[5]STA_SP4_NO!$P$37</f>
        <v>4</v>
      </c>
      <c r="H18" s="54">
        <f>[6]STA_SP4_NO!$P$37</f>
        <v>0</v>
      </c>
      <c r="I18" s="62">
        <f>[7]STA_SP4_NO!$P$37</f>
        <v>0</v>
      </c>
      <c r="J18" s="54">
        <f>[8]STA_SP4_NO!$P$37</f>
        <v>0</v>
      </c>
      <c r="K18" s="62">
        <f>[9]STA_SP4_NO!$P$37</f>
        <v>84.4</v>
      </c>
      <c r="L18" s="54">
        <f>[10]STA_SP4_NO!$P$37</f>
        <v>0</v>
      </c>
      <c r="M18" s="409">
        <f>[11]STA_SP4_NO!$P$37</f>
        <v>0</v>
      </c>
      <c r="N18" s="403">
        <f t="shared" si="0"/>
        <v>332.4</v>
      </c>
    </row>
    <row r="19" spans="1:14" x14ac:dyDescent="0.25">
      <c r="A19" s="32">
        <v>16</v>
      </c>
      <c r="B19" s="352" t="s">
        <v>27</v>
      </c>
      <c r="C19" s="370">
        <f>[1]STA_SP4_NO!$P$38</f>
        <v>1546.87</v>
      </c>
      <c r="D19" s="402">
        <f>[2]STA_SP4_NO!$P$38</f>
        <v>18298.439999999999</v>
      </c>
      <c r="E19" s="370">
        <f>[3]STA_SP4_NO!$P$38</f>
        <v>31</v>
      </c>
      <c r="F19" s="54">
        <f>[4]STA_SP4_NO!$P$38</f>
        <v>6061.03</v>
      </c>
      <c r="G19" s="62">
        <f>[5]STA_SP4_NO!$P$38</f>
        <v>520</v>
      </c>
      <c r="H19" s="54">
        <f>[6]STA_SP4_NO!$P$38</f>
        <v>0</v>
      </c>
      <c r="I19" s="62">
        <f>[7]STA_SP4_NO!$P$38</f>
        <v>5279</v>
      </c>
      <c r="J19" s="54">
        <f>[8]STA_SP4_NO!$P$38</f>
        <v>0</v>
      </c>
      <c r="K19" s="62">
        <f>[9]STA_SP4_NO!$P$38</f>
        <v>11806.67</v>
      </c>
      <c r="L19" s="54">
        <f>[10]STA_SP4_NO!$P$38</f>
        <v>307</v>
      </c>
      <c r="M19" s="409">
        <f>[11]STA_SP4_NO!$P$38</f>
        <v>0</v>
      </c>
      <c r="N19" s="403">
        <f t="shared" si="0"/>
        <v>43850.009999999995</v>
      </c>
    </row>
    <row r="20" spans="1:14" x14ac:dyDescent="0.25">
      <c r="A20" s="32">
        <v>17</v>
      </c>
      <c r="B20" s="352" t="s">
        <v>28</v>
      </c>
      <c r="C20" s="370">
        <f>[1]STA_SP4_NO!$P$39</f>
        <v>0</v>
      </c>
      <c r="D20" s="402">
        <f>[2]STA_SP4_NO!$P$39</f>
        <v>0</v>
      </c>
      <c r="E20" s="370">
        <f>[3]STA_SP4_NO!$P$39</f>
        <v>0</v>
      </c>
      <c r="F20" s="54">
        <f>[4]STA_SP4_NO!$P$39</f>
        <v>0</v>
      </c>
      <c r="G20" s="62">
        <f>[5]STA_SP4_NO!$P$39</f>
        <v>0</v>
      </c>
      <c r="H20" s="54">
        <f>[6]STA_SP4_NO!$P$39</f>
        <v>0</v>
      </c>
      <c r="I20" s="62">
        <f>[7]STA_SP4_NO!$P$39</f>
        <v>0</v>
      </c>
      <c r="J20" s="54">
        <f>[8]STA_SP4_NO!$P$39</f>
        <v>0</v>
      </c>
      <c r="K20" s="62">
        <f>[9]STA_SP4_NO!$P$39</f>
        <v>0</v>
      </c>
      <c r="L20" s="54">
        <f>[10]STA_SP4_NO!$P$39</f>
        <v>0</v>
      </c>
      <c r="M20" s="409">
        <f>[11]STA_SP4_NO!$P$39</f>
        <v>0</v>
      </c>
      <c r="N20" s="403">
        <f t="shared" si="0"/>
        <v>0</v>
      </c>
    </row>
    <row r="21" spans="1:14" ht="15.75" thickBot="1" x14ac:dyDescent="0.3">
      <c r="A21" s="34">
        <v>18</v>
      </c>
      <c r="B21" s="353" t="s">
        <v>29</v>
      </c>
      <c r="C21" s="370">
        <f>[1]STA_SP4_NO!$P$40</f>
        <v>5882.15</v>
      </c>
      <c r="D21" s="402">
        <f>[2]STA_SP4_NO!$P$40</f>
        <v>18316.240000000002</v>
      </c>
      <c r="E21" s="370">
        <f>[3]STA_SP4_NO!$P$40</f>
        <v>2777</v>
      </c>
      <c r="F21" s="54">
        <f>[4]STA_SP4_NO!$P$40</f>
        <v>16984.28</v>
      </c>
      <c r="G21" s="62">
        <f>[5]STA_SP4_NO!$P$40</f>
        <v>13102</v>
      </c>
      <c r="H21" s="54">
        <f>[6]STA_SP4_NO!$P$40</f>
        <v>1650</v>
      </c>
      <c r="I21" s="62">
        <f>[7]STA_SP4_NO!$P$40</f>
        <v>8034</v>
      </c>
      <c r="J21" s="54">
        <f>[8]STA_SP4_NO!$P$40</f>
        <v>6141</v>
      </c>
      <c r="K21" s="62">
        <f>[9]STA_SP4_NO!$P$40</f>
        <v>4828.51</v>
      </c>
      <c r="L21" s="54">
        <f>[10]STA_SP4_NO!$P$40</f>
        <v>7462</v>
      </c>
      <c r="M21" s="409">
        <f>[11]STA_SP4_NO!$P$40</f>
        <v>116.95</v>
      </c>
      <c r="N21" s="403">
        <f t="shared" si="0"/>
        <v>85294.12999999999</v>
      </c>
    </row>
    <row r="22" spans="1:14" ht="15.75" thickBot="1" x14ac:dyDescent="0.3">
      <c r="A22" s="36"/>
      <c r="B22" s="366" t="s">
        <v>37</v>
      </c>
      <c r="C22" s="361">
        <f t="shared" ref="C22:D22" si="1">SUM(C4:C21)</f>
        <v>843642.27999999991</v>
      </c>
      <c r="D22" s="363">
        <f t="shared" si="1"/>
        <v>680464.3899999999</v>
      </c>
      <c r="E22" s="359">
        <f t="shared" ref="E22:M22" si="2">SUM(E4:E21)</f>
        <v>264163</v>
      </c>
      <c r="F22" s="362">
        <f t="shared" si="2"/>
        <v>608327.57999999996</v>
      </c>
      <c r="G22" s="350">
        <f t="shared" si="2"/>
        <v>1249576</v>
      </c>
      <c r="H22" s="362">
        <f t="shared" si="2"/>
        <v>234797</v>
      </c>
      <c r="I22" s="350">
        <f t="shared" si="2"/>
        <v>688276</v>
      </c>
      <c r="J22" s="362">
        <f t="shared" si="2"/>
        <v>318984</v>
      </c>
      <c r="K22" s="350">
        <f t="shared" si="2"/>
        <v>443571.83</v>
      </c>
      <c r="L22" s="363">
        <f t="shared" si="2"/>
        <v>578252</v>
      </c>
      <c r="M22" s="406">
        <f t="shared" si="2"/>
        <v>25918.82</v>
      </c>
      <c r="N22" s="236">
        <f t="shared" si="0"/>
        <v>5935972.9000000004</v>
      </c>
    </row>
    <row r="23" spans="1:14" ht="15.75" thickBot="1" x14ac:dyDescent="0.3">
      <c r="A23" s="43"/>
      <c r="B23" s="44"/>
      <c r="C23" s="59"/>
      <c r="D23" s="46"/>
      <c r="E23" s="59"/>
      <c r="F23" s="46"/>
      <c r="G23" s="46"/>
      <c r="H23" s="59"/>
      <c r="I23" s="46"/>
      <c r="J23" s="59"/>
      <c r="K23" s="46"/>
      <c r="L23" s="59"/>
      <c r="M23" s="348"/>
      <c r="N23" s="46"/>
    </row>
    <row r="24" spans="1:14" ht="15.75" thickBot="1" x14ac:dyDescent="0.3">
      <c r="A24" s="448" t="s">
        <v>53</v>
      </c>
      <c r="B24" s="449"/>
      <c r="C24" s="55">
        <f>C22/N22</f>
        <v>0.14212367445275903</v>
      </c>
      <c r="D24" s="56">
        <f>D22/N22</f>
        <v>0.11463401222738059</v>
      </c>
      <c r="E24" s="48">
        <f>E22/N22</f>
        <v>4.4502056267810786E-2</v>
      </c>
      <c r="F24" s="47">
        <f>F22/N22</f>
        <v>0.10248152918622656</v>
      </c>
      <c r="G24" s="70">
        <f>G22/N22</f>
        <v>0.21050904730377054</v>
      </c>
      <c r="H24" s="47">
        <f>H22/N22</f>
        <v>3.9554931256508934E-2</v>
      </c>
      <c r="I24" s="404">
        <f>I22/N22</f>
        <v>0.11594999027033967</v>
      </c>
      <c r="J24" s="47">
        <f>J22/N22</f>
        <v>5.3737442096475872E-2</v>
      </c>
      <c r="K24" s="404">
        <f>K22/N22</f>
        <v>7.4726053752704968E-2</v>
      </c>
      <c r="L24" s="47">
        <f>L22/N22</f>
        <v>9.741486521948238E-2</v>
      </c>
      <c r="M24" s="342">
        <f>M22/N22</f>
        <v>4.3663979665405812E-3</v>
      </c>
      <c r="N24" s="258">
        <f>SUM(C24:M24)</f>
        <v>0.99999999999999989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"/>
    </row>
    <row r="26" spans="1:14" ht="15.75" thickBot="1" x14ac:dyDescent="0.3">
      <c r="A26" s="427" t="s">
        <v>0</v>
      </c>
      <c r="B26" s="429" t="s">
        <v>1</v>
      </c>
      <c r="C26" s="474" t="s">
        <v>90</v>
      </c>
      <c r="D26" s="475"/>
      <c r="E26" s="475"/>
      <c r="F26" s="475"/>
      <c r="G26" s="475"/>
      <c r="H26" s="476"/>
      <c r="I26" s="443" t="s">
        <v>3</v>
      </c>
      <c r="J26" s="1"/>
      <c r="K26" s="1"/>
      <c r="L26" s="1"/>
      <c r="M26" s="1"/>
      <c r="N26" s="1"/>
    </row>
    <row r="27" spans="1:14" ht="15.75" thickBot="1" x14ac:dyDescent="0.3">
      <c r="A27" s="428"/>
      <c r="B27" s="431"/>
      <c r="C27" s="189" t="s">
        <v>11</v>
      </c>
      <c r="D27" s="215" t="s">
        <v>32</v>
      </c>
      <c r="E27" s="191" t="s">
        <v>7</v>
      </c>
      <c r="F27" s="127" t="s">
        <v>9</v>
      </c>
      <c r="G27" s="168" t="s">
        <v>4</v>
      </c>
      <c r="H27" s="210" t="s">
        <v>95</v>
      </c>
      <c r="I27" s="545"/>
      <c r="J27" s="81"/>
      <c r="K27" s="415" t="s">
        <v>33</v>
      </c>
      <c r="L27" s="416"/>
      <c r="M27" s="232">
        <f>N22</f>
        <v>5935972.9000000004</v>
      </c>
      <c r="N27" s="233">
        <f>M27/M29</f>
        <v>0.82924817312831822</v>
      </c>
    </row>
    <row r="28" spans="1:14" ht="15.75" thickBot="1" x14ac:dyDescent="0.3">
      <c r="A28" s="22">
        <v>19</v>
      </c>
      <c r="B28" s="128" t="s">
        <v>34</v>
      </c>
      <c r="C28" s="193">
        <f>[12]STA_SP1_ZO!$Q$51</f>
        <v>300095</v>
      </c>
      <c r="D28" s="200">
        <f>[13]STA_SP1_ZO!$Q$51</f>
        <v>199155.5</v>
      </c>
      <c r="E28" s="194">
        <f>[14]STA_SP1_ZO!$Q$51</f>
        <v>252085</v>
      </c>
      <c r="F28" s="50">
        <f>[15]STA_SP1_ZO!$Q$51</f>
        <v>199982</v>
      </c>
      <c r="G28" s="115">
        <f>[16]STA_SP1_ZO!$Q$51</f>
        <v>261957.48</v>
      </c>
      <c r="H28" s="50">
        <f>[17]STA_SP1_ZO!$Q$51</f>
        <v>9010.76</v>
      </c>
      <c r="I28" s="244">
        <f>SUM(C28:H28)</f>
        <v>1222285.74</v>
      </c>
      <c r="J28" s="81"/>
      <c r="K28" s="415" t="s">
        <v>34</v>
      </c>
      <c r="L28" s="416"/>
      <c r="M28" s="255">
        <f>I28</f>
        <v>1222285.74</v>
      </c>
      <c r="N28" s="235">
        <f>M28/M29</f>
        <v>0.17075182687168172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5" t="s">
        <v>3</v>
      </c>
      <c r="L29" s="416"/>
      <c r="M29" s="236">
        <f>M27+M28</f>
        <v>7158258.6400000006</v>
      </c>
      <c r="N29" s="237">
        <f>M29/M29</f>
        <v>1</v>
      </c>
    </row>
    <row r="30" spans="1:14" ht="15.75" thickBot="1" x14ac:dyDescent="0.3">
      <c r="A30" s="419" t="s">
        <v>53</v>
      </c>
      <c r="B30" s="420"/>
      <c r="C30" s="23">
        <f>C28/I28</f>
        <v>0.24551951330136601</v>
      </c>
      <c r="D30" s="82">
        <f>D28/I28</f>
        <v>0.1629369414061887</v>
      </c>
      <c r="E30" s="23">
        <f>E28/I28</f>
        <v>0.20624064549750862</v>
      </c>
      <c r="F30" s="82">
        <f>F28/I28</f>
        <v>0.16361313353782561</v>
      </c>
      <c r="G30" s="23">
        <f>G28/I28</f>
        <v>0.21431770937620528</v>
      </c>
      <c r="H30" s="82">
        <f>H28/I28</f>
        <v>7.3720568809057694E-3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30:B30"/>
    <mergeCell ref="K28:L28"/>
    <mergeCell ref="C1:I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J21" sqref="J21"/>
    </sheetView>
  </sheetViews>
  <sheetFormatPr defaultRowHeight="15" x14ac:dyDescent="0.25"/>
  <cols>
    <col min="1" max="1" width="4.7109375" customWidth="1"/>
    <col min="2" max="2" width="20.28515625" customWidth="1"/>
    <col min="8" max="8" width="11.42578125" customWidth="1"/>
    <col min="14" max="14" width="11.7109375" customWidth="1"/>
  </cols>
  <sheetData>
    <row r="1" spans="1:15" x14ac:dyDescent="0.25">
      <c r="A1" s="1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559" t="s">
        <v>117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1"/>
      <c r="M2" s="1"/>
      <c r="N2" s="1"/>
    </row>
    <row r="3" spans="1:15" ht="15.75" thickBot="1" x14ac:dyDescent="0.3">
      <c r="A3" s="26"/>
      <c r="B3" s="489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26"/>
      <c r="N3" s="155" t="s">
        <v>91</v>
      </c>
    </row>
    <row r="4" spans="1:15" ht="15.75" thickBot="1" x14ac:dyDescent="0.3">
      <c r="A4" s="463" t="s">
        <v>0</v>
      </c>
      <c r="B4" s="568" t="s">
        <v>89</v>
      </c>
      <c r="C4" s="377" t="s">
        <v>2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557" t="s">
        <v>3</v>
      </c>
    </row>
    <row r="5" spans="1:15" ht="15.75" thickBot="1" x14ac:dyDescent="0.3">
      <c r="A5" s="464"/>
      <c r="B5" s="567"/>
      <c r="C5" s="264" t="s">
        <v>69</v>
      </c>
      <c r="D5" s="171" t="s">
        <v>4</v>
      </c>
      <c r="E5" s="170" t="s">
        <v>5</v>
      </c>
      <c r="F5" s="411" t="s">
        <v>6</v>
      </c>
      <c r="G5" s="171" t="s">
        <v>8</v>
      </c>
      <c r="H5" s="228" t="s">
        <v>94</v>
      </c>
      <c r="I5" s="171" t="s">
        <v>9</v>
      </c>
      <c r="J5" s="265" t="s">
        <v>10</v>
      </c>
      <c r="K5" s="171" t="s">
        <v>93</v>
      </c>
      <c r="L5" s="169" t="s">
        <v>11</v>
      </c>
      <c r="M5" s="266" t="s">
        <v>96</v>
      </c>
      <c r="N5" s="558"/>
    </row>
    <row r="6" spans="1:15" ht="37.5" customHeight="1" x14ac:dyDescent="0.25">
      <c r="A6" s="30">
        <v>1</v>
      </c>
      <c r="B6" s="60" t="s">
        <v>59</v>
      </c>
      <c r="C6" s="67">
        <f>[1]STA_SP5_NO!$E$41</f>
        <v>657054.05000000005</v>
      </c>
      <c r="D6" s="68">
        <f>[2]STA_SP5_NO!$E$41</f>
        <v>898194.11</v>
      </c>
      <c r="E6" s="61">
        <f>[3]STA_SP5_NO!$E$41</f>
        <v>197818</v>
      </c>
      <c r="F6" s="118">
        <f>[4]STA_SP5_NO!$E$41</f>
        <v>364551.76</v>
      </c>
      <c r="G6" s="68">
        <f>[5]STA_SP5_NO!$E$41</f>
        <v>367758</v>
      </c>
      <c r="H6" s="117">
        <f>[6]STA_SP5_NO!$E$41</f>
        <v>220697.32</v>
      </c>
      <c r="I6" s="68">
        <f>[7]STA_SP5_NO!$E$41</f>
        <v>210766</v>
      </c>
      <c r="J6" s="74">
        <f>[8]STA_SP5_NO!$E$41</f>
        <v>203547</v>
      </c>
      <c r="K6" s="68">
        <f>[9]STA_SP5_NO!$E$41</f>
        <v>247676.61</v>
      </c>
      <c r="L6" s="262">
        <f>[10]STA_SP5_NO!$E$41</f>
        <v>339167</v>
      </c>
      <c r="M6" s="260">
        <f>[11]STA_SP5_NO!$E$41</f>
        <v>3377.1</v>
      </c>
      <c r="N6" s="267">
        <f>SUM(C6:M6)</f>
        <v>3710606.9499999997</v>
      </c>
    </row>
    <row r="7" spans="1:15" ht="37.5" customHeight="1" thickBot="1" x14ac:dyDescent="0.3">
      <c r="A7" s="83">
        <v>2</v>
      </c>
      <c r="B7" s="84" t="s">
        <v>60</v>
      </c>
      <c r="C7" s="85">
        <f>[1]STA_SP5_NO!$G$41</f>
        <v>417617.07</v>
      </c>
      <c r="D7" s="86">
        <f>[2]STA_SP5_NO!$G$41</f>
        <v>285682.46999999997</v>
      </c>
      <c r="E7" s="87">
        <f>[3]STA_SP5_NO!$G$41</f>
        <v>278398</v>
      </c>
      <c r="F7" s="412">
        <f>[4]STA_SP5_NO!$G$41</f>
        <v>258508.27</v>
      </c>
      <c r="G7" s="86">
        <f>[5]STA_SP5_NO!$G$41</f>
        <v>271272</v>
      </c>
      <c r="H7" s="410">
        <f>[6]STA_SP5_NO!$G$41</f>
        <v>115440.42</v>
      </c>
      <c r="I7" s="86">
        <f>[7]STA_SP5_NO!$G$41</f>
        <v>310243</v>
      </c>
      <c r="J7" s="87">
        <f>[8]STA_SP5_NO!$G$41</f>
        <v>293270.43</v>
      </c>
      <c r="K7" s="68">
        <f>[9]STA_SP5_NO!$G$41</f>
        <v>242777.11</v>
      </c>
      <c r="L7" s="263">
        <f>[10]STA_SP5_NO!$G$41</f>
        <v>386875</v>
      </c>
      <c r="M7" s="186">
        <f>[11]STA_SP5_NO!$G$41</f>
        <v>23836.28</v>
      </c>
      <c r="N7" s="268">
        <f>SUM(C7:M7)</f>
        <v>2883920.05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463" t="s">
        <v>0</v>
      </c>
      <c r="B10" s="566" t="s">
        <v>89</v>
      </c>
      <c r="C10" s="571" t="s">
        <v>90</v>
      </c>
      <c r="D10" s="571"/>
      <c r="E10" s="571"/>
      <c r="F10" s="571"/>
      <c r="G10" s="571"/>
      <c r="H10" s="571"/>
      <c r="I10" s="569" t="s">
        <v>3</v>
      </c>
      <c r="K10" s="549" t="s">
        <v>81</v>
      </c>
      <c r="L10" s="550"/>
      <c r="M10" s="553" t="s">
        <v>2</v>
      </c>
      <c r="N10" s="555" t="s">
        <v>90</v>
      </c>
      <c r="O10" s="547" t="s">
        <v>3</v>
      </c>
    </row>
    <row r="11" spans="1:15" ht="15.75" thickBot="1" x14ac:dyDescent="0.3">
      <c r="A11" s="464"/>
      <c r="B11" s="567"/>
      <c r="C11" s="169" t="s">
        <v>11</v>
      </c>
      <c r="D11" s="195" t="s">
        <v>32</v>
      </c>
      <c r="E11" s="170" t="s">
        <v>7</v>
      </c>
      <c r="F11" s="171" t="s">
        <v>9</v>
      </c>
      <c r="G11" s="170" t="s">
        <v>4</v>
      </c>
      <c r="H11" s="216" t="s">
        <v>95</v>
      </c>
      <c r="I11" s="570"/>
      <c r="K11" s="551"/>
      <c r="L11" s="552"/>
      <c r="M11" s="554"/>
      <c r="N11" s="556"/>
      <c r="O11" s="548"/>
    </row>
    <row r="12" spans="1:15" ht="37.5" customHeight="1" thickBot="1" x14ac:dyDescent="0.3">
      <c r="A12" s="96">
        <v>1</v>
      </c>
      <c r="B12" s="60" t="s">
        <v>59</v>
      </c>
      <c r="C12" s="97">
        <f>[12]STA_SP4_ZO!$G$51</f>
        <v>25014</v>
      </c>
      <c r="D12" s="201">
        <f>[13]STA_SP4_ZO!$G$51</f>
        <v>40058</v>
      </c>
      <c r="E12" s="99">
        <f>[14]STA_SP4_ZO!$G$51</f>
        <v>5647.71</v>
      </c>
      <c r="F12" s="98">
        <f>[15]STA_SP4_ZO!$G$51</f>
        <v>6099</v>
      </c>
      <c r="G12" s="100">
        <f>[16]STA_SP4_ZO!$G$51</f>
        <v>3136.54</v>
      </c>
      <c r="H12" s="172">
        <f>[17]STA_SP4_ZO!$G$51</f>
        <v>0</v>
      </c>
      <c r="I12" s="271">
        <f>SUM(C12:H12)</f>
        <v>79955.25</v>
      </c>
      <c r="K12" s="562" t="s">
        <v>59</v>
      </c>
      <c r="L12" s="563"/>
      <c r="M12" s="105">
        <f>N6</f>
        <v>3710606.9499999997</v>
      </c>
      <c r="N12" s="114">
        <f>I12</f>
        <v>79955.25</v>
      </c>
      <c r="O12" s="269">
        <f>SUM(M12:N12)</f>
        <v>3790562.1999999997</v>
      </c>
    </row>
    <row r="13" spans="1:15" ht="37.5" customHeight="1" thickBot="1" x14ac:dyDescent="0.3">
      <c r="A13" s="83">
        <v>2</v>
      </c>
      <c r="B13" s="84" t="s">
        <v>60</v>
      </c>
      <c r="C13" s="101">
        <f>[12]STA_SP4_ZO!$H$51</f>
        <v>4911</v>
      </c>
      <c r="D13" s="202">
        <f>[13]STA_SP4_ZO!$H$51</f>
        <v>10725</v>
      </c>
      <c r="E13" s="103">
        <f>[14]STA_SP4_ZO!$H$51</f>
        <v>12334.58</v>
      </c>
      <c r="F13" s="102">
        <f>[15]STA_SP4_ZO!$H$51</f>
        <v>1886</v>
      </c>
      <c r="G13" s="104">
        <f>[16]STA_SP4_ZO!$H$51</f>
        <v>563.5</v>
      </c>
      <c r="H13" s="95">
        <f>[17]STA_SP4_ZO!$H$51</f>
        <v>202.01</v>
      </c>
      <c r="I13" s="272">
        <f>SUM(C13:H13)</f>
        <v>30622.09</v>
      </c>
      <c r="K13" s="564" t="s">
        <v>60</v>
      </c>
      <c r="L13" s="565"/>
      <c r="M13" s="106">
        <f>N7</f>
        <v>2883920.05</v>
      </c>
      <c r="N13" s="114">
        <f>I13</f>
        <v>30622.09</v>
      </c>
      <c r="O13" s="270">
        <f>SUM(M13:N13)</f>
        <v>2914542.1399999997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A2:L2"/>
    <mergeCell ref="K12:L12"/>
    <mergeCell ref="K13:L13"/>
    <mergeCell ref="B10:B11"/>
    <mergeCell ref="A10:A11"/>
    <mergeCell ref="B3:L3"/>
    <mergeCell ref="A4:A5"/>
    <mergeCell ref="B4:B5"/>
    <mergeCell ref="I10:I11"/>
    <mergeCell ref="C10:H10"/>
    <mergeCell ref="O10:O11"/>
    <mergeCell ref="K10:L11"/>
    <mergeCell ref="M10:M11"/>
    <mergeCell ref="N10:N11"/>
    <mergeCell ref="N4:N5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4" workbookViewId="0">
      <selection activeCell="Q28" sqref="Q28"/>
    </sheetView>
  </sheetViews>
  <sheetFormatPr defaultRowHeight="15" x14ac:dyDescent="0.25"/>
  <cols>
    <col min="1" max="1" width="25.7109375" customWidth="1"/>
    <col min="12" max="12" width="10.5703125" customWidth="1"/>
    <col min="13" max="13" width="10.28515625" customWidth="1"/>
    <col min="14" max="14" width="11.5703125" customWidth="1"/>
  </cols>
  <sheetData>
    <row r="1" spans="1:13" ht="11.25" customHeight="1" thickBot="1" x14ac:dyDescent="0.3">
      <c r="A1" s="119"/>
      <c r="B1" s="119"/>
      <c r="C1" s="158" t="s">
        <v>118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5.75" thickBot="1" x14ac:dyDescent="0.3">
      <c r="A2" s="77"/>
      <c r="B2" s="78" t="s">
        <v>69</v>
      </c>
      <c r="C2" s="64" t="s">
        <v>4</v>
      </c>
      <c r="D2" s="65" t="s">
        <v>5</v>
      </c>
      <c r="E2" s="64" t="s">
        <v>6</v>
      </c>
      <c r="F2" s="64" t="s">
        <v>8</v>
      </c>
      <c r="G2" s="21" t="s">
        <v>94</v>
      </c>
      <c r="H2" s="64" t="s">
        <v>9</v>
      </c>
      <c r="I2" s="65" t="s">
        <v>10</v>
      </c>
      <c r="J2" s="64" t="s">
        <v>93</v>
      </c>
      <c r="K2" s="63" t="s">
        <v>11</v>
      </c>
      <c r="L2" s="273" t="s">
        <v>96</v>
      </c>
      <c r="M2" s="64" t="s">
        <v>3</v>
      </c>
    </row>
    <row r="3" spans="1:13" x14ac:dyDescent="0.25">
      <c r="A3" s="123" t="s">
        <v>70</v>
      </c>
      <c r="B3" s="75"/>
      <c r="C3" s="75"/>
      <c r="D3" s="76"/>
      <c r="E3" s="75"/>
      <c r="F3" s="75"/>
      <c r="G3" s="75"/>
      <c r="H3" s="75"/>
      <c r="I3" s="76"/>
      <c r="J3" s="75"/>
      <c r="K3" s="274"/>
      <c r="L3" s="76"/>
      <c r="M3" s="75"/>
    </row>
    <row r="4" spans="1:13" x14ac:dyDescent="0.25">
      <c r="A4" s="124" t="s">
        <v>76</v>
      </c>
      <c r="B4" s="149">
        <f>[1]STA_SP7_NO!$C$9</f>
        <v>5542</v>
      </c>
      <c r="C4" s="149">
        <f>[2]STA_SP7_NO!$C$9</f>
        <v>81342</v>
      </c>
      <c r="D4" s="150">
        <f>[3]STA_SP7_NO!$C$9</f>
        <v>5460</v>
      </c>
      <c r="E4" s="149">
        <f>[4]STA_SP7_NO!$C$9</f>
        <v>48594</v>
      </c>
      <c r="F4" s="149">
        <f>[5]STA_SP7_NO!$C$9</f>
        <v>73083</v>
      </c>
      <c r="G4" s="149">
        <f>[6]STA_SP7_NO!$C$9</f>
        <v>200</v>
      </c>
      <c r="H4" s="149">
        <f>[7]STA_SP7_NO!$C$9</f>
        <v>10108</v>
      </c>
      <c r="I4" s="149">
        <f>[8]STA_SP7_NO!$C$9</f>
        <v>48814</v>
      </c>
      <c r="J4" s="149">
        <f>[9]STA_SP7_NO!$C$9</f>
        <v>2699</v>
      </c>
      <c r="K4" s="149">
        <f>[10]STA_SP7_NO!$C$9</f>
        <v>46153</v>
      </c>
      <c r="L4" s="290">
        <f>[11]STA_SP7_NO!$C$9</f>
        <v>586</v>
      </c>
      <c r="M4" s="149">
        <f>SUM(B4:L4)</f>
        <v>322581</v>
      </c>
    </row>
    <row r="5" spans="1:13" x14ac:dyDescent="0.25">
      <c r="A5" s="124" t="s">
        <v>77</v>
      </c>
      <c r="B5" s="149">
        <f>[1]STA_SP7_NO!$D$9</f>
        <v>105546.71</v>
      </c>
      <c r="C5" s="149">
        <f>[2]STA_SP7_NO!$D$9</f>
        <v>728313.27</v>
      </c>
      <c r="D5" s="150">
        <f>[3]STA_SP7_NO!$D$9</f>
        <v>66419</v>
      </c>
      <c r="E5" s="149">
        <f>[4]STA_SP7_NO!$D$9</f>
        <v>430974.68</v>
      </c>
      <c r="F5" s="149">
        <f>[5]STA_SP7_NO!$D$9</f>
        <v>1306545.8899999999</v>
      </c>
      <c r="G5" s="149">
        <f>[6]STA_SP7_NO!$D$9</f>
        <v>1451</v>
      </c>
      <c r="H5" s="149">
        <f>[7]STA_SP7_NO!$D$9</f>
        <v>88375</v>
      </c>
      <c r="I5" s="149">
        <f>[8]STA_SP7_NO!$D$9</f>
        <v>305221</v>
      </c>
      <c r="J5" s="149">
        <f>[9]STA_SP7_NO!$D$9</f>
        <v>26393.45</v>
      </c>
      <c r="K5" s="149">
        <f>[10]STA_SP7_NO!$D$9</f>
        <v>440881</v>
      </c>
      <c r="L5" s="291">
        <f>[11]STA_SP7_NO!$D$9</f>
        <v>2392.37</v>
      </c>
      <c r="M5" s="149">
        <f>SUM(B5:L5)</f>
        <v>3502513.37</v>
      </c>
    </row>
    <row r="6" spans="1:13" x14ac:dyDescent="0.25">
      <c r="A6" s="124" t="s">
        <v>58</v>
      </c>
      <c r="B6" s="149">
        <f>[1]STA_SP7_NO!$E$9</f>
        <v>0</v>
      </c>
      <c r="C6" s="149">
        <f>[2]STA_SP7_NO!$E$9</f>
        <v>0</v>
      </c>
      <c r="D6" s="150">
        <f>[3]STA_SP7_NO!$E$9</f>
        <v>0</v>
      </c>
      <c r="E6" s="149">
        <f>[4]STA_SP7_NO!$E$9</f>
        <v>0</v>
      </c>
      <c r="F6" s="149">
        <f>[5]STA_SP7_NO!$E$9</f>
        <v>0</v>
      </c>
      <c r="G6" s="149">
        <f>[6]STA_SP7_NO!$F$9</f>
        <v>0</v>
      </c>
      <c r="H6" s="149">
        <f>[7]STA_SP7_NO!$E$9</f>
        <v>0</v>
      </c>
      <c r="I6" s="149">
        <f>[8]STA_SP7_NO!$E$9</f>
        <v>0</v>
      </c>
      <c r="J6" s="149">
        <f>[9]STA_SP7_NO!$E$9</f>
        <v>0</v>
      </c>
      <c r="K6" s="149">
        <f>[10]STA_SP7_NO!$E$9</f>
        <v>0</v>
      </c>
      <c r="L6" s="290">
        <f>[11]STA_SP7_NO!$E$9</f>
        <v>0</v>
      </c>
      <c r="M6" s="149">
        <f>SUM(B6:L6)</f>
        <v>0</v>
      </c>
    </row>
    <row r="7" spans="1:13" x14ac:dyDescent="0.25">
      <c r="A7" s="123" t="s">
        <v>71</v>
      </c>
      <c r="B7" s="75"/>
      <c r="C7" s="75"/>
      <c r="D7" s="76"/>
      <c r="E7" s="75"/>
      <c r="F7" s="75"/>
      <c r="G7" s="75"/>
      <c r="H7" s="75"/>
      <c r="I7" s="76"/>
      <c r="J7" s="75"/>
      <c r="K7" s="75"/>
      <c r="L7" s="76"/>
      <c r="M7" s="75"/>
    </row>
    <row r="8" spans="1:13" x14ac:dyDescent="0.25">
      <c r="A8" s="124" t="s">
        <v>76</v>
      </c>
      <c r="B8" s="149">
        <f>[1]STA_SP7_NO!$C$18</f>
        <v>12658</v>
      </c>
      <c r="C8" s="149">
        <f>[2]STA_SP7_NO!$C$18</f>
        <v>34802</v>
      </c>
      <c r="D8" s="150">
        <f>[3]STA_SP7_NO!$C$18</f>
        <v>7640</v>
      </c>
      <c r="E8" s="149">
        <f>[4]STA_SP7_NO!$C$18</f>
        <v>17154</v>
      </c>
      <c r="F8" s="149">
        <f>[5]STA_SP7_NO!$C$18</f>
        <v>14834</v>
      </c>
      <c r="G8" s="149">
        <f>[6]STA_SP7_NO!$C$18</f>
        <v>34765</v>
      </c>
      <c r="H8" s="149">
        <f>[7]STA_SP7_NO!$C$18</f>
        <v>53457</v>
      </c>
      <c r="I8" s="149">
        <f>[8]STA_SP7_NO!$C$18</f>
        <v>15355</v>
      </c>
      <c r="J8" s="149">
        <f>[9]STA_SP7_NO!$C$18</f>
        <v>7187</v>
      </c>
      <c r="K8" s="149">
        <f>[10]STA_SP7_NO!$C$18</f>
        <v>34345</v>
      </c>
      <c r="L8" s="291">
        <f>[11]STA_SP7_NO!$C$18</f>
        <v>4634</v>
      </c>
      <c r="M8" s="149">
        <f>SUM(B8:L8)</f>
        <v>236831</v>
      </c>
    </row>
    <row r="9" spans="1:13" x14ac:dyDescent="0.25">
      <c r="A9" s="124" t="s">
        <v>77</v>
      </c>
      <c r="B9" s="149">
        <f>[1]STA_SP7_NO!$D$18</f>
        <v>280636.31</v>
      </c>
      <c r="C9" s="149">
        <f>[2]STA_SP7_NO!$D18</f>
        <v>199840.97</v>
      </c>
      <c r="D9" s="150">
        <f>[3]STA_SP7_NO!$D$18</f>
        <v>88684</v>
      </c>
      <c r="E9" s="149">
        <f>[4]STA_SP7_NO!$D$18</f>
        <v>150945.24</v>
      </c>
      <c r="F9" s="149">
        <f>[5]STA_SP7_NO!$D$18</f>
        <v>182239.57</v>
      </c>
      <c r="G9" s="149">
        <f>[6]STA_SP7_NO!$D$18</f>
        <v>183429</v>
      </c>
      <c r="H9" s="149">
        <f>[7]STA_SP7_NO!$D$18</f>
        <v>507710</v>
      </c>
      <c r="I9" s="149">
        <f>[8]STA_SP7_NO!$D$18</f>
        <v>101330</v>
      </c>
      <c r="J9" s="149">
        <f>[9]STA_SP7_NO!$D$18</f>
        <v>98912.98</v>
      </c>
      <c r="K9" s="149">
        <f>[10]STA_SP7_NO!$D$18</f>
        <v>261915</v>
      </c>
      <c r="L9" s="291">
        <f>[11]STA_SP7_NO!$D$18</f>
        <v>29470.37</v>
      </c>
      <c r="M9" s="149">
        <f>SUM(B9:L9)</f>
        <v>2085113.4400000002</v>
      </c>
    </row>
    <row r="10" spans="1:13" x14ac:dyDescent="0.25">
      <c r="A10" s="124" t="s">
        <v>58</v>
      </c>
      <c r="B10" s="149">
        <f>[1]STA_SP7_NO!$E$18</f>
        <v>57471.21</v>
      </c>
      <c r="C10" s="149">
        <f>[2]STA_SP7_NO!$E$18</f>
        <v>45272.58</v>
      </c>
      <c r="D10" s="150">
        <f>[3]STA_SP7_NO!$E$18</f>
        <v>34351</v>
      </c>
      <c r="E10" s="149">
        <f>[4]STA_SP7_NO!$E$18</f>
        <v>28700.5</v>
      </c>
      <c r="F10" s="149">
        <f>[5]STA_SP7_NO!$E$18</f>
        <v>42352.65</v>
      </c>
      <c r="G10" s="149">
        <f>[6]STA_SP7_NO!$E$18</f>
        <v>56920</v>
      </c>
      <c r="H10" s="149">
        <f>[7]STA_SP7_NO!$E$18</f>
        <v>117195</v>
      </c>
      <c r="I10" s="149">
        <f>[8]STA_SP7_NO!$E$18</f>
        <v>26606.93</v>
      </c>
      <c r="J10" s="149">
        <f>[9]STA_SP7_NO!$E$18</f>
        <v>20365</v>
      </c>
      <c r="K10" s="149">
        <f>[10]STA_SP7_NO!$E$18</f>
        <v>73859</v>
      </c>
      <c r="L10" s="291">
        <f>[11]STA_SP7_NO!$E$18</f>
        <v>10103.99</v>
      </c>
      <c r="M10" s="149">
        <f>SUM(B10:L10)</f>
        <v>513197.86</v>
      </c>
    </row>
    <row r="11" spans="1:13" x14ac:dyDescent="0.25">
      <c r="A11" s="123" t="s">
        <v>72</v>
      </c>
      <c r="B11" s="75"/>
      <c r="C11" s="75"/>
      <c r="D11" s="76"/>
      <c r="E11" s="75"/>
      <c r="F11" s="75"/>
      <c r="G11" s="75"/>
      <c r="H11" s="75"/>
      <c r="I11" s="76"/>
      <c r="J11" s="75"/>
      <c r="K11" s="75"/>
      <c r="L11" s="76"/>
      <c r="M11" s="75"/>
    </row>
    <row r="12" spans="1:13" x14ac:dyDescent="0.25">
      <c r="A12" s="124" t="s">
        <v>76</v>
      </c>
      <c r="B12" s="149">
        <f>[1]STA_SP7_NO!$C$19</f>
        <v>32217</v>
      </c>
      <c r="C12" s="149">
        <f>[2]STA_SP7_NO!$C$19</f>
        <v>5</v>
      </c>
      <c r="D12" s="150">
        <f>[3]STA_SP7_NO!$C$19</f>
        <v>7803</v>
      </c>
      <c r="E12" s="149">
        <f>[4]STA_SP7_NO!$C$19</f>
        <v>2111</v>
      </c>
      <c r="F12" s="149">
        <f>[5]STA_SP7_NO!$C$19</f>
        <v>0</v>
      </c>
      <c r="G12" s="149">
        <f>[6]STA_SP7_NO!$C$19</f>
        <v>717</v>
      </c>
      <c r="H12" s="149">
        <f>[7]STA_SP7_NO!$C$19</f>
        <v>8655</v>
      </c>
      <c r="I12" s="149">
        <f>[8]STA_SP7_NO!$C$19</f>
        <v>1504</v>
      </c>
      <c r="J12" s="149">
        <f>[9]STA_SP7_NO!$C$19</f>
        <v>0</v>
      </c>
      <c r="K12" s="149">
        <f>[10]STA_SP7_NO!$C$19</f>
        <v>0</v>
      </c>
      <c r="L12" s="291">
        <f>[11]STA_SP7_NO!$C$19</f>
        <v>0</v>
      </c>
      <c r="M12" s="149">
        <f>SUM(B12:L12)</f>
        <v>53012</v>
      </c>
    </row>
    <row r="13" spans="1:13" x14ac:dyDescent="0.25">
      <c r="A13" s="124" t="s">
        <v>77</v>
      </c>
      <c r="B13" s="149">
        <f>[1]STA_SP7_NO!$D$19</f>
        <v>430965.78</v>
      </c>
      <c r="C13" s="149">
        <f>[2]STA_SP7_NO!$D$19</f>
        <v>52.42</v>
      </c>
      <c r="D13" s="150">
        <f>[3]STA_SP7_NO!$D$19</f>
        <v>41616</v>
      </c>
      <c r="E13" s="149">
        <f>[4]STA_SP7_NO!$D$19</f>
        <v>9279.2800000000007</v>
      </c>
      <c r="F13" s="149">
        <f>[5]STA_SP7_NO!$D$19</f>
        <v>0</v>
      </c>
      <c r="G13" s="149">
        <f>[6]STA_SP7_NO!$D$19</f>
        <v>4333</v>
      </c>
      <c r="H13" s="149">
        <f>[7]STA_SP7_NO!$D$19</f>
        <v>47659</v>
      </c>
      <c r="I13" s="149">
        <f>[8]STA_SP7_NO!$D$19</f>
        <v>8040</v>
      </c>
      <c r="J13" s="149">
        <f>[9]STA_SP7_NO!$D$19</f>
        <v>0</v>
      </c>
      <c r="K13" s="149">
        <f>[10]STA_SP7_NO!$D$19</f>
        <v>0</v>
      </c>
      <c r="L13" s="291">
        <f>[11]STA_SP7_NO!$D$19</f>
        <v>0</v>
      </c>
      <c r="M13" s="149">
        <f>SUM(B13:L13)</f>
        <v>541945.48</v>
      </c>
    </row>
    <row r="14" spans="1:13" x14ac:dyDescent="0.25">
      <c r="A14" s="124" t="s">
        <v>58</v>
      </c>
      <c r="B14" s="149">
        <f>[1]STA_SP7_NO!$E$19</f>
        <v>91901.18</v>
      </c>
      <c r="C14" s="149">
        <f>[2]STA_SP7_NO!$E$19</f>
        <v>58.23</v>
      </c>
      <c r="D14" s="150">
        <f>[3]STA_SP7_NO!$E$19</f>
        <v>12430</v>
      </c>
      <c r="E14" s="149">
        <f>[4]STA_SP7_NO!$E$19</f>
        <v>2152.89</v>
      </c>
      <c r="F14" s="149">
        <f>[5]STA_SP7_NO!$E$19</f>
        <v>0</v>
      </c>
      <c r="G14" s="149">
        <f>[6]STA_SP7_NO!$E$19</f>
        <v>1495</v>
      </c>
      <c r="H14" s="149">
        <f>[7]STA_SP7_NO!$E$19</f>
        <v>14475</v>
      </c>
      <c r="I14" s="149">
        <f>[8]STA_SP7_NO!$E$19</f>
        <v>2746.82</v>
      </c>
      <c r="J14" s="149">
        <f>[9]STA_SP7_NO!$E$19</f>
        <v>0</v>
      </c>
      <c r="K14" s="149">
        <f>[10]STA_SP7_NO!$E$19</f>
        <v>0</v>
      </c>
      <c r="L14" s="291">
        <f>[11]STA_SP7_NO!$E$19</f>
        <v>0</v>
      </c>
      <c r="M14" s="149">
        <f>SUM(B14:L14)</f>
        <v>125259.12</v>
      </c>
    </row>
    <row r="15" spans="1:13" x14ac:dyDescent="0.25">
      <c r="A15" s="123" t="s">
        <v>73</v>
      </c>
      <c r="B15" s="75"/>
      <c r="C15" s="75"/>
      <c r="D15" s="76"/>
      <c r="E15" s="75"/>
      <c r="F15" s="75"/>
      <c r="G15" s="75"/>
      <c r="H15" s="75"/>
      <c r="I15" s="76"/>
      <c r="J15" s="75"/>
      <c r="K15" s="75"/>
      <c r="L15" s="76"/>
      <c r="M15" s="75"/>
    </row>
    <row r="16" spans="1:13" x14ac:dyDescent="0.25">
      <c r="A16" s="124" t="s">
        <v>76</v>
      </c>
      <c r="B16" s="149">
        <f>[1]STA_SP7_NO!$C$20</f>
        <v>836</v>
      </c>
      <c r="C16" s="149">
        <f>[2]STA_SP7_NO!$C$20</f>
        <v>1874</v>
      </c>
      <c r="D16" s="150">
        <f>[3]STA_SP7_NO!$C$20</f>
        <v>0</v>
      </c>
      <c r="E16" s="149">
        <f>[4]STA_SP7_NO!$C$20</f>
        <v>2167</v>
      </c>
      <c r="F16" s="149">
        <f>[5]STA_SP7_NO!$C$20</f>
        <v>11135</v>
      </c>
      <c r="G16" s="149">
        <f>[6]STA_SP7_NO!$C$20</f>
        <v>241</v>
      </c>
      <c r="H16" s="149">
        <f>[7]STA_SP7_NO!$C$20</f>
        <v>1173</v>
      </c>
      <c r="I16" s="149">
        <f>[8]STA_SP7_NO!$C$20</f>
        <v>660</v>
      </c>
      <c r="J16" s="149">
        <f>[9]STA_SP7_NO!$C$20</f>
        <v>55</v>
      </c>
      <c r="K16" s="149">
        <f>[10]STA_SP7_NO!$C$20</f>
        <v>202</v>
      </c>
      <c r="L16" s="291">
        <f>[11]STA_SP7_NO!$C$20</f>
        <v>0</v>
      </c>
      <c r="M16" s="149">
        <f>SUM(B16:L16)</f>
        <v>18343</v>
      </c>
    </row>
    <row r="17" spans="1:13" x14ac:dyDescent="0.25">
      <c r="A17" s="124" t="s">
        <v>77</v>
      </c>
      <c r="B17" s="149">
        <f>[1]STA_SP7_NO!$D$20</f>
        <v>250.07</v>
      </c>
      <c r="C17" s="149">
        <f>[2]STA_SP7_NO!$D$20</f>
        <v>1488.05</v>
      </c>
      <c r="D17" s="150">
        <f>[3]STA_SP7_NO!$D$20</f>
        <v>0</v>
      </c>
      <c r="E17" s="149">
        <f>[4]STA_SP7_NO!$D$20</f>
        <v>1424.69</v>
      </c>
      <c r="F17" s="149">
        <f>[5]STA_SP7_NO!$D$20</f>
        <v>5642.68</v>
      </c>
      <c r="G17" s="149">
        <f>[6]STA_SP7_NO!$D$20</f>
        <v>114</v>
      </c>
      <c r="H17" s="149">
        <f>[7]STA_SP7_NO!$D$20</f>
        <v>667</v>
      </c>
      <c r="I17" s="149">
        <f>[8]STA_SP7_NO!$D$20</f>
        <v>603</v>
      </c>
      <c r="J17" s="149">
        <f>[9]STA_SP7_NO!$D$20</f>
        <v>15.15</v>
      </c>
      <c r="K17" s="149">
        <f>[10]STA_SP7_NO!$D$20</f>
        <v>496</v>
      </c>
      <c r="L17" s="291">
        <f>[11]STA_SP7_NO!$D$20</f>
        <v>0</v>
      </c>
      <c r="M17" s="149">
        <f>SUM(B17:L17)</f>
        <v>10700.64</v>
      </c>
    </row>
    <row r="18" spans="1:13" x14ac:dyDescent="0.25">
      <c r="A18" s="124" t="s">
        <v>58</v>
      </c>
      <c r="B18" s="149">
        <f>[1]STA_SP7_NO!$E$20</f>
        <v>74.959999999999994</v>
      </c>
      <c r="C18" s="149">
        <f>[2]STA_SP7_NO!$E$20</f>
        <v>248.34</v>
      </c>
      <c r="D18" s="150">
        <f>[3]STA_SP7_NO!$E$20</f>
        <v>0</v>
      </c>
      <c r="E18" s="149">
        <f>[4]STA_SP7_NO!$E$20</f>
        <v>427.42</v>
      </c>
      <c r="F18" s="149">
        <f>[5]STA_SP7_NO!$E$20</f>
        <v>1821</v>
      </c>
      <c r="G18" s="149">
        <f>[6]STA_SP7_NO!$E$20</f>
        <v>1</v>
      </c>
      <c r="H18" s="149">
        <f>[7]STA_SP7_NO!$E$20</f>
        <v>0</v>
      </c>
      <c r="I18" s="149">
        <f>[8]STA_SP7_NO!$E$20</f>
        <v>169.17</v>
      </c>
      <c r="J18" s="149">
        <f>[9]STA_SP7_NO!$E$20</f>
        <v>6</v>
      </c>
      <c r="K18" s="149">
        <f>[10]STA_SP7_NO!$E$20</f>
        <v>171</v>
      </c>
      <c r="L18" s="291">
        <f>[11]STA_SP7_NO!$E$20</f>
        <v>0</v>
      </c>
      <c r="M18" s="149">
        <f>SUM(B18:L18)</f>
        <v>2918.8900000000003</v>
      </c>
    </row>
    <row r="19" spans="1:13" x14ac:dyDescent="0.25">
      <c r="A19" s="123" t="s">
        <v>74</v>
      </c>
      <c r="B19" s="75"/>
      <c r="C19" s="75"/>
      <c r="D19" s="76"/>
      <c r="E19" s="75"/>
      <c r="F19" s="75"/>
      <c r="G19" s="75"/>
      <c r="H19" s="75"/>
      <c r="I19" s="76"/>
      <c r="J19" s="75"/>
      <c r="K19" s="75"/>
      <c r="L19" s="76"/>
      <c r="M19" s="75"/>
    </row>
    <row r="20" spans="1:13" x14ac:dyDescent="0.25">
      <c r="A20" s="124" t="s">
        <v>76</v>
      </c>
      <c r="B20" s="149">
        <f>[1]STA_SP7_NO!$C$21</f>
        <v>0</v>
      </c>
      <c r="C20" s="149">
        <f>[2]STA_SP7_NO!$C$21</f>
        <v>0</v>
      </c>
      <c r="D20" s="150">
        <f>[3]STA_SP7_NO!$C$21</f>
        <v>469</v>
      </c>
      <c r="E20" s="149">
        <f>[4]STA_SP7_NO!$C$21</f>
        <v>0</v>
      </c>
      <c r="F20" s="149">
        <f>[5]STA_SP7_NO!$C$21</f>
        <v>0</v>
      </c>
      <c r="G20" s="149">
        <f>[6]STA_SP7_NO!$C$21</f>
        <v>0</v>
      </c>
      <c r="H20" s="149">
        <f>[7]STA_SP7_NO!$C$21</f>
        <v>0</v>
      </c>
      <c r="I20" s="149">
        <f>[8]STA_SP7_NO!$C$21</f>
        <v>0</v>
      </c>
      <c r="J20" s="149">
        <f>[9]STA_SP7_NO!$C$21</f>
        <v>0</v>
      </c>
      <c r="K20" s="149">
        <f>[10]STA_SP7_NO!$C$21</f>
        <v>0</v>
      </c>
      <c r="L20" s="291">
        <f>[11]STA_SP7_NO!$C$21</f>
        <v>0</v>
      </c>
      <c r="M20" s="149">
        <f>SUM(B20:L20)</f>
        <v>469</v>
      </c>
    </row>
    <row r="21" spans="1:13" x14ac:dyDescent="0.25">
      <c r="A21" s="124" t="s">
        <v>77</v>
      </c>
      <c r="B21" s="149">
        <f>[1]STA_SP7_NO!$D$21</f>
        <v>0</v>
      </c>
      <c r="C21" s="149">
        <f>[2]STA_SP7_NO!$D$21</f>
        <v>0</v>
      </c>
      <c r="D21" s="150">
        <f>[3]STA_SP7_NO!$D$21</f>
        <v>6169</v>
      </c>
      <c r="E21" s="149">
        <f>[4]STA_SP7_NO!$D$21</f>
        <v>0</v>
      </c>
      <c r="F21" s="149">
        <f>[5]STA_SP7_NO!$D$21</f>
        <v>0</v>
      </c>
      <c r="G21" s="149">
        <f>[6]STA_SP7_NO!$D$21</f>
        <v>0</v>
      </c>
      <c r="H21" s="149">
        <f>[7]STA_SP7_NO!$D$21</f>
        <v>0</v>
      </c>
      <c r="I21" s="149">
        <f>[8]STA_SP7_NO!$D$21</f>
        <v>0</v>
      </c>
      <c r="J21" s="149">
        <f>[9]STA_SP7_NO!$D$21</f>
        <v>0</v>
      </c>
      <c r="K21" s="149">
        <f>[10]STA_SP7_NO!$D$21</f>
        <v>0</v>
      </c>
      <c r="L21" s="291">
        <f>[11]STA_SP7_NO!$D$21</f>
        <v>0</v>
      </c>
      <c r="M21" s="149">
        <f>SUM(B21:L21)</f>
        <v>6169</v>
      </c>
    </row>
    <row r="22" spans="1:13" ht="12.75" customHeight="1" x14ac:dyDescent="0.25">
      <c r="A22" s="124" t="s">
        <v>58</v>
      </c>
      <c r="B22" s="149">
        <f>[1]STA_SP7_NO!$E$21</f>
        <v>0</v>
      </c>
      <c r="C22" s="149">
        <f>[2]STA_SP7_NO!$E$21</f>
        <v>0</v>
      </c>
      <c r="D22" s="150">
        <f>[3]STA_SP7_NO!$E$21</f>
        <v>925</v>
      </c>
      <c r="E22" s="149">
        <f>[4]STA_SP7_NO!$E$21</f>
        <v>0</v>
      </c>
      <c r="F22" s="149">
        <f>[5]STA_SP7_NO!$E$21</f>
        <v>0</v>
      </c>
      <c r="G22" s="149">
        <f>[6]STA_SP7_NO!$E$21</f>
        <v>0</v>
      </c>
      <c r="H22" s="149">
        <f>[7]STA_SP7_NO!$E$21</f>
        <v>0</v>
      </c>
      <c r="I22" s="149">
        <f>[8]STA_SP7_NO!$E$21</f>
        <v>0</v>
      </c>
      <c r="J22" s="149">
        <f>[9]STA_SP7_NO!$E$21</f>
        <v>0</v>
      </c>
      <c r="K22" s="149">
        <f>[10]STA_SP7_NO!$E$21</f>
        <v>0</v>
      </c>
      <c r="L22" s="291">
        <f>[11]STA_SP7_NO!$E$21</f>
        <v>0</v>
      </c>
      <c r="M22" s="149">
        <f>SUM(B22:L22)</f>
        <v>925</v>
      </c>
    </row>
    <row r="23" spans="1:13" x14ac:dyDescent="0.25">
      <c r="A23" s="123" t="s">
        <v>75</v>
      </c>
      <c r="B23" s="75"/>
      <c r="C23" s="75"/>
      <c r="D23" s="76"/>
      <c r="E23" s="75"/>
      <c r="F23" s="75"/>
      <c r="G23" s="75"/>
      <c r="H23" s="75"/>
      <c r="I23" s="76"/>
      <c r="J23" s="75"/>
      <c r="K23" s="75"/>
      <c r="L23" s="76"/>
      <c r="M23" s="75"/>
    </row>
    <row r="24" spans="1:13" x14ac:dyDescent="0.25">
      <c r="A24" s="124" t="s">
        <v>76</v>
      </c>
      <c r="B24" s="149">
        <f>[1]STA_SP7_NO!$C$22</f>
        <v>2147</v>
      </c>
      <c r="C24" s="149">
        <f>[2]STA_SP7_NO!$C$22</f>
        <v>5292</v>
      </c>
      <c r="D24" s="150">
        <f>[3]STA_SP7_NO!$C$22</f>
        <v>1372</v>
      </c>
      <c r="E24" s="149">
        <f>[4]STA_SP7_NO!$C$22</f>
        <v>24074</v>
      </c>
      <c r="F24" s="149">
        <f>[5]STA_SP7_NO!$C$22</f>
        <v>0</v>
      </c>
      <c r="G24" s="149">
        <f>[6]STA_SP7_NO!$C$22</f>
        <v>0</v>
      </c>
      <c r="H24" s="149">
        <f>[7]STA_SP7_NO!$C$22</f>
        <v>10</v>
      </c>
      <c r="I24" s="149">
        <f>[8]STA_SP7_NO!$C$22</f>
        <v>569</v>
      </c>
      <c r="J24" s="149">
        <f>[9]STA_SP7_NO!$C$22</f>
        <v>25063</v>
      </c>
      <c r="K24" s="149">
        <f>[10]STA_SP7_NO!$C$22</f>
        <v>34660</v>
      </c>
      <c r="L24" s="291">
        <f>[11]STA_SP7_NO!$C$22</f>
        <v>0</v>
      </c>
      <c r="M24" s="149">
        <f>SUM(B24:L24)</f>
        <v>93187</v>
      </c>
    </row>
    <row r="25" spans="1:13" x14ac:dyDescent="0.25">
      <c r="A25" s="124" t="s">
        <v>77</v>
      </c>
      <c r="B25" s="149">
        <f>[1]STA_SP7_NO!$D$22</f>
        <v>42771.38</v>
      </c>
      <c r="C25" s="149">
        <f>[2]STA_SP7_NO!$D$22</f>
        <v>6634.61</v>
      </c>
      <c r="D25" s="150">
        <f>[3]STA_SP7_NO!$D$22</f>
        <v>2968</v>
      </c>
      <c r="E25" s="149">
        <f>[4]STA_SP7_NO!$D$22</f>
        <v>32514.31</v>
      </c>
      <c r="F25" s="149">
        <f>[5]STA_SP7_NO!$D$22</f>
        <v>0</v>
      </c>
      <c r="G25" s="149">
        <f>[6]STA_SP7_NO!$D$22</f>
        <v>0</v>
      </c>
      <c r="H25" s="149">
        <f>[7]STA_SP7_NO!$D$22</f>
        <v>116</v>
      </c>
      <c r="I25" s="149">
        <f>[8]STA_SP7_NO!$D$22</f>
        <v>1436</v>
      </c>
      <c r="J25" s="149">
        <f>[9]STA_SP7_NO!$D$22</f>
        <v>278901.2</v>
      </c>
      <c r="K25" s="149">
        <f>[10]STA_SP7_NO!$D$22</f>
        <v>47468</v>
      </c>
      <c r="L25" s="291">
        <f>[11]STA_SP7_NO!$D$22</f>
        <v>0</v>
      </c>
      <c r="M25" s="149">
        <f>SUM(B25:L25)</f>
        <v>412809.5</v>
      </c>
    </row>
    <row r="26" spans="1:13" x14ac:dyDescent="0.25">
      <c r="A26" s="124" t="s">
        <v>58</v>
      </c>
      <c r="B26" s="149">
        <f>[1]STA_SP7_NO!$E$22</f>
        <v>9009.33</v>
      </c>
      <c r="C26" s="149">
        <f>[2]STA_SP7_NO!$E$22</f>
        <v>1697.54</v>
      </c>
      <c r="D26" s="150">
        <f>[3]STA_SP7_NO!$E$22</f>
        <v>873</v>
      </c>
      <c r="E26" s="149">
        <f>[4]STA_SP7_NO!$E$22</f>
        <v>9774.0499999999993</v>
      </c>
      <c r="F26" s="149">
        <f>[5]STA_SP7_NO!$E$22</f>
        <v>0</v>
      </c>
      <c r="G26" s="149">
        <f>[6]STA_SP7_NO!$E$22</f>
        <v>0</v>
      </c>
      <c r="H26" s="149">
        <f>[7]STA_SP7_NO!$E$22</f>
        <v>0</v>
      </c>
      <c r="I26" s="149">
        <f>[8]STA_SP7_NO!$E$22</f>
        <v>0</v>
      </c>
      <c r="J26" s="149">
        <f>[9]STA_SP7_NO!$E$22</f>
        <v>22085</v>
      </c>
      <c r="K26" s="149">
        <f>[10]STA_SP7_NO!$E$22</f>
        <v>18395</v>
      </c>
      <c r="L26" s="291">
        <f>[11]STA_SP7_NO!$E$22</f>
        <v>0</v>
      </c>
      <c r="M26" s="149">
        <f>SUM(B26:L26)</f>
        <v>61833.919999999998</v>
      </c>
    </row>
    <row r="27" spans="1:13" x14ac:dyDescent="0.25">
      <c r="A27" s="123" t="s">
        <v>78</v>
      </c>
      <c r="B27" s="75"/>
      <c r="C27" s="75"/>
      <c r="D27" s="76"/>
      <c r="E27" s="75"/>
      <c r="F27" s="75"/>
      <c r="G27" s="75"/>
      <c r="H27" s="75"/>
      <c r="I27" s="76"/>
      <c r="J27" s="75"/>
      <c r="K27" s="75"/>
      <c r="L27" s="76"/>
      <c r="M27" s="75"/>
    </row>
    <row r="28" spans="1:13" x14ac:dyDescent="0.25">
      <c r="A28" s="124" t="s">
        <v>76</v>
      </c>
      <c r="B28" s="149">
        <f>[1]STA_SP7_NO!$C$29</f>
        <v>52025</v>
      </c>
      <c r="C28" s="149">
        <f>[2]STA_SP7_NO!$C$29</f>
        <v>4348</v>
      </c>
      <c r="D28" s="150">
        <f>[3]STA_SP7_NO!$C$29</f>
        <v>3266</v>
      </c>
      <c r="E28" s="149">
        <f>[4]STA_SP7_NO!$C$29</f>
        <v>19154</v>
      </c>
      <c r="F28" s="149">
        <f>[5]STA_SP7_NO!$C$29</f>
        <v>3241</v>
      </c>
      <c r="G28" s="149">
        <f>[6]STA_SP7_NO!$C$29</f>
        <v>24844</v>
      </c>
      <c r="H28" s="149">
        <f>[7]STA_SP7_NO!$C$29</f>
        <v>43422</v>
      </c>
      <c r="I28" s="149">
        <f>[8]STA_SP7_NO!$C$29</f>
        <v>5458</v>
      </c>
      <c r="J28" s="149">
        <f>[9]STA_SP7_NO!$C$29</f>
        <v>32181</v>
      </c>
      <c r="K28" s="149">
        <f>[10]STA_SP7_NO!$C$29</f>
        <v>2279</v>
      </c>
      <c r="L28" s="291">
        <f>[11]STA_SP7_NO!$C$29</f>
        <v>274</v>
      </c>
      <c r="M28" s="149">
        <f>SUM(B28:L28)</f>
        <v>190492</v>
      </c>
    </row>
    <row r="29" spans="1:13" x14ac:dyDescent="0.25">
      <c r="A29" s="124" t="s">
        <v>77</v>
      </c>
      <c r="B29" s="149">
        <f>[1]STA_SP7_NO!$D$29</f>
        <v>341690.93</v>
      </c>
      <c r="C29" s="149">
        <f>[2]STA_SP7_NO!$D$29</f>
        <v>24670.68</v>
      </c>
      <c r="D29" s="150">
        <f>[3]STA_SP7_NO!$D$29</f>
        <v>21613</v>
      </c>
      <c r="E29" s="149">
        <f>[4]STA_SP7_NO!$D$29</f>
        <v>132671.84</v>
      </c>
      <c r="F29" s="149">
        <f>[5]STA_SP7_NO!$D$29</f>
        <v>28968.93</v>
      </c>
      <c r="G29" s="149">
        <f>[6]STA_SP7_NO!$D$29</f>
        <v>141033</v>
      </c>
      <c r="H29" s="149">
        <f>[7]STA_SP7_NO!$D$29</f>
        <v>287549</v>
      </c>
      <c r="I29" s="149">
        <f>[8]STA_SP7_NO!$D$29</f>
        <v>33686</v>
      </c>
      <c r="J29" s="149">
        <f>[9]STA_SP7_NO!$D$29</f>
        <v>211342.2</v>
      </c>
      <c r="K29" s="149">
        <f>[10]STA_SP7_NO!$D$29</f>
        <v>37107</v>
      </c>
      <c r="L29" s="291">
        <f>[11]STA_SP7_NO!$D$29</f>
        <v>1968.75</v>
      </c>
      <c r="M29" s="149">
        <f>SUM(B29:L29)</f>
        <v>1262301.33</v>
      </c>
    </row>
    <row r="30" spans="1:13" x14ac:dyDescent="0.25">
      <c r="A30" s="124" t="s">
        <v>58</v>
      </c>
      <c r="B30" s="149">
        <f>[1]STA_SP7_NO!$E$29</f>
        <v>92965.14</v>
      </c>
      <c r="C30" s="149">
        <f>[2]STA_SP7_NO!$E$29</f>
        <v>4938.8100000000004</v>
      </c>
      <c r="D30" s="150">
        <f>[3]STA_SP7_NO!$E$29</f>
        <v>2922</v>
      </c>
      <c r="E30" s="149">
        <f>[4]STA_SP7_NO!$E$29</f>
        <v>25606.38</v>
      </c>
      <c r="F30" s="149">
        <f>[5]STA_SP7_NO!$E$29</f>
        <v>6733</v>
      </c>
      <c r="G30" s="149">
        <f>[6]STA_SP7_NO!$E$29</f>
        <v>37487</v>
      </c>
      <c r="H30" s="149">
        <f>[7]STA_SP7_NO!$E$29</f>
        <v>77376</v>
      </c>
      <c r="I30" s="149">
        <f>[8]STA_SP7_NO!$E$29</f>
        <v>6229.93</v>
      </c>
      <c r="J30" s="149">
        <f>[9]STA_SP7_NO!$E$29</f>
        <v>709</v>
      </c>
      <c r="K30" s="149">
        <f>[10]STA_SP7_NO!$E$29</f>
        <v>0</v>
      </c>
      <c r="L30" s="291">
        <f>[11]STA_SP7_NO!$E$29</f>
        <v>384.68</v>
      </c>
      <c r="M30" s="149">
        <f>SUM(B30:L30)</f>
        <v>255351.94</v>
      </c>
    </row>
    <row r="31" spans="1:13" ht="12" customHeight="1" x14ac:dyDescent="0.25">
      <c r="A31" s="123" t="s">
        <v>79</v>
      </c>
      <c r="B31" s="123"/>
      <c r="C31" s="75"/>
      <c r="D31" s="76"/>
      <c r="E31" s="75"/>
      <c r="F31" s="75"/>
      <c r="G31" s="75"/>
      <c r="H31" s="75"/>
      <c r="I31" s="76"/>
      <c r="J31" s="75"/>
      <c r="K31" s="75"/>
      <c r="L31" s="76"/>
      <c r="M31" s="75"/>
    </row>
    <row r="32" spans="1:13" x14ac:dyDescent="0.25">
      <c r="A32" s="124" t="s">
        <v>76</v>
      </c>
      <c r="B32" s="149">
        <f>[1]STA_SP7_NO!$C$38</f>
        <v>0</v>
      </c>
      <c r="C32" s="149">
        <f>[2]STA_SP7_NO!$C$38</f>
        <v>0</v>
      </c>
      <c r="D32" s="150">
        <f>[3]STA_SP7_NO!$C$38</f>
        <v>30399</v>
      </c>
      <c r="E32" s="149">
        <f>[4]STA_SP7_NO!$C$38</f>
        <v>14727</v>
      </c>
      <c r="F32" s="149">
        <f>[5]STA_SP7_NO!$C$38</f>
        <v>0</v>
      </c>
      <c r="G32" s="149">
        <f>[6]STA_SP7_NO!$C$38</f>
        <v>0</v>
      </c>
      <c r="H32" s="149">
        <f>[7]STA_SP7_NO!$C$38</f>
        <v>0</v>
      </c>
      <c r="I32" s="149">
        <f>[8]STA_SP7_NO!$C$38</f>
        <v>0</v>
      </c>
      <c r="J32" s="149">
        <f>[9]STA_SP7_NO!$C$38</f>
        <v>0</v>
      </c>
      <c r="K32" s="149">
        <f>[10]STA_SP7_NO!$C$38</f>
        <v>629</v>
      </c>
      <c r="L32" s="291">
        <f>[11]STA_SP7_NO!$C$38</f>
        <v>0</v>
      </c>
      <c r="M32" s="149">
        <f>SUM(B32:L32)</f>
        <v>45755</v>
      </c>
    </row>
    <row r="33" spans="1:13" ht="12.75" customHeight="1" x14ac:dyDescent="0.25">
      <c r="A33" s="124" t="s">
        <v>77</v>
      </c>
      <c r="B33" s="149">
        <f>[1]STA_SP7_NO!$D$38</f>
        <v>0</v>
      </c>
      <c r="C33" s="149">
        <f>[2]STA_SP7_NO!$D$38</f>
        <v>0</v>
      </c>
      <c r="D33" s="150">
        <f>[3]STA_SP7_NO!$D$38</f>
        <v>157362</v>
      </c>
      <c r="E33" s="149">
        <f>[4]STA_SP7_NO!$D$38</f>
        <v>10600.52</v>
      </c>
      <c r="F33" s="149">
        <f>[5]STA_SP7_NO!$D$38</f>
        <v>0</v>
      </c>
      <c r="G33" s="149">
        <f>[6]STA_SP7_NO!$D$38</f>
        <v>0</v>
      </c>
      <c r="H33" s="149">
        <f>[7]STA_SP7_NO!$D$38</f>
        <v>0</v>
      </c>
      <c r="I33" s="149">
        <f>[8]STA_SP7_NO!$D$38</f>
        <v>0</v>
      </c>
      <c r="J33" s="149">
        <f>[9]STA_SP7_NO!$D$38</f>
        <v>0</v>
      </c>
      <c r="K33" s="149">
        <f>[10]STA_SP7_NO!$D$38</f>
        <v>9827</v>
      </c>
      <c r="L33" s="291">
        <f>[11]STA_SP7_NO!$D$38</f>
        <v>0</v>
      </c>
      <c r="M33" s="149">
        <f>SUM(B33:L33)</f>
        <v>177789.52</v>
      </c>
    </row>
    <row r="34" spans="1:13" ht="15.75" thickBot="1" x14ac:dyDescent="0.3">
      <c r="A34" s="125" t="s">
        <v>58</v>
      </c>
      <c r="B34" s="207">
        <f>[1]STA_SP7_NO!$E$38</f>
        <v>0</v>
      </c>
      <c r="C34" s="207">
        <f>[2]STA_SP7_NO!$E$38</f>
        <v>0</v>
      </c>
      <c r="D34" s="208">
        <f>[3]STA_SP7_NO!$E$38</f>
        <v>39772</v>
      </c>
      <c r="E34" s="116">
        <f>[4]STA_SP7_NO!$E$38</f>
        <v>874.88</v>
      </c>
      <c r="F34" s="116">
        <f>[5]STA_SP7_NO!$E$38</f>
        <v>0</v>
      </c>
      <c r="G34" s="116">
        <f>[6]STA_SP7_NO!$E$38</f>
        <v>0</v>
      </c>
      <c r="H34" s="116">
        <f>[7]STA_SP7_NO!$E$38</f>
        <v>0</v>
      </c>
      <c r="I34" s="116">
        <f>[8]STA_SP7_NO!$E$38</f>
        <v>0</v>
      </c>
      <c r="J34" s="207">
        <f>[9]STA_SP7_NO!$E$38</f>
        <v>0</v>
      </c>
      <c r="K34" s="116">
        <f>[10]STA_SP7_NO!$E$38</f>
        <v>0</v>
      </c>
      <c r="L34" s="292">
        <f>[11]STA_SP7_NO!$E$38</f>
        <v>3.48</v>
      </c>
      <c r="M34" s="116">
        <f>SUM(B34:L34)</f>
        <v>40650.36</v>
      </c>
    </row>
    <row r="37" spans="1:13" x14ac:dyDescent="0.25"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</row>
    <row r="38" spans="1:13" x14ac:dyDescent="0.25"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</row>
    <row r="39" spans="1:13" x14ac:dyDescent="0.25"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L40" s="1"/>
      <c r="M40" s="198"/>
    </row>
    <row r="41" spans="1:13" x14ac:dyDescent="0.25"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</row>
    <row r="42" spans="1:13" x14ac:dyDescent="0.25"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</row>
    <row r="45" spans="1:13" x14ac:dyDescent="0.25"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</sheetData>
  <pageMargins left="0.25" right="0.25" top="0.75" bottom="0.75" header="0.3" footer="0.3"/>
  <pageSetup paperSize="9" scale="7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G33" sqref="G33"/>
    </sheetView>
  </sheetViews>
  <sheetFormatPr defaultRowHeight="15" x14ac:dyDescent="0.25"/>
  <cols>
    <col min="1" max="1" width="7" customWidth="1"/>
    <col min="2" max="2" width="16.5703125" customWidth="1"/>
    <col min="3" max="3" width="13.42578125" customWidth="1"/>
    <col min="4" max="4" width="11.28515625" customWidth="1"/>
    <col min="5" max="6" width="14.28515625" customWidth="1"/>
    <col min="7" max="7" width="12.28515625" customWidth="1"/>
    <col min="8" max="8" width="12.42578125" customWidth="1"/>
    <col min="9" max="10" width="11.42578125" customWidth="1"/>
    <col min="11" max="11" width="11.140625" customWidth="1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574" t="s">
        <v>119</v>
      </c>
      <c r="C2" s="574"/>
      <c r="D2" s="574"/>
      <c r="E2" s="574"/>
      <c r="F2" s="574"/>
      <c r="G2" s="575"/>
      <c r="H2" s="575"/>
      <c r="I2" s="94"/>
      <c r="J2" s="94"/>
      <c r="K2" s="94"/>
    </row>
    <row r="3" spans="1:11" ht="15.75" thickBot="1" x14ac:dyDescent="0.3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55" t="s">
        <v>92</v>
      </c>
    </row>
    <row r="4" spans="1:11" ht="15.75" thickBot="1" x14ac:dyDescent="0.3">
      <c r="A4" s="507" t="s">
        <v>82</v>
      </c>
      <c r="B4" s="507" t="s">
        <v>57</v>
      </c>
      <c r="C4" s="507" t="s">
        <v>83</v>
      </c>
      <c r="D4" s="507" t="s">
        <v>84</v>
      </c>
      <c r="E4" s="576" t="s">
        <v>85</v>
      </c>
      <c r="F4" s="577"/>
      <c r="G4" s="578"/>
      <c r="H4" s="507" t="s">
        <v>86</v>
      </c>
      <c r="I4" s="507" t="s">
        <v>80</v>
      </c>
      <c r="J4" s="507" t="s">
        <v>87</v>
      </c>
      <c r="K4" s="507" t="s">
        <v>3</v>
      </c>
    </row>
    <row r="5" spans="1:11" ht="47.25" customHeight="1" thickBot="1" x14ac:dyDescent="0.3">
      <c r="A5" s="508"/>
      <c r="B5" s="508"/>
      <c r="C5" s="508"/>
      <c r="D5" s="508"/>
      <c r="E5" s="89" t="s">
        <v>59</v>
      </c>
      <c r="F5" s="89" t="s">
        <v>60</v>
      </c>
      <c r="G5" s="89" t="s">
        <v>88</v>
      </c>
      <c r="H5" s="508"/>
      <c r="I5" s="508"/>
      <c r="J5" s="508"/>
      <c r="K5" s="508"/>
    </row>
    <row r="6" spans="1:11" ht="15.75" thickBot="1" x14ac:dyDescent="0.3">
      <c r="A6" s="275"/>
      <c r="B6" s="276" t="s">
        <v>55</v>
      </c>
      <c r="C6" s="277">
        <f t="shared" ref="C6:K6" si="0">SUM(C7:C17)</f>
        <v>7368302.5000000009</v>
      </c>
      <c r="D6" s="278">
        <f t="shared" si="0"/>
        <v>109776.09999999999</v>
      </c>
      <c r="E6" s="279">
        <f t="shared" si="0"/>
        <v>3710606.9499999997</v>
      </c>
      <c r="F6" s="279">
        <f t="shared" si="0"/>
        <v>2883920.05</v>
      </c>
      <c r="G6" s="280">
        <f t="shared" si="0"/>
        <v>6774084.9699999997</v>
      </c>
      <c r="H6" s="278">
        <f t="shared" si="0"/>
        <v>0</v>
      </c>
      <c r="I6" s="278">
        <f t="shared" si="0"/>
        <v>0</v>
      </c>
      <c r="J6" s="278">
        <f t="shared" si="0"/>
        <v>34645.11</v>
      </c>
      <c r="K6" s="281">
        <f t="shared" si="0"/>
        <v>14286808.680000002</v>
      </c>
    </row>
    <row r="7" spans="1:11" x14ac:dyDescent="0.25">
      <c r="A7" s="90">
        <v>1</v>
      </c>
      <c r="B7" s="129" t="s">
        <v>69</v>
      </c>
      <c r="C7" s="136">
        <f>[1]STA_SP5_NO!$C$41+[1]STA_SP5_NO!$K$41</f>
        <v>1081118.32</v>
      </c>
      <c r="D7" s="137">
        <f>[1]STA_SP5_NO!$D$41</f>
        <v>5570.05</v>
      </c>
      <c r="E7" s="136">
        <f>[1]STA_SP5_NO!$E$41</f>
        <v>657054.05000000005</v>
      </c>
      <c r="F7" s="136">
        <f>[1]STA_SP5_NO!$G$41</f>
        <v>417617.07</v>
      </c>
      <c r="G7" s="137">
        <f>E7+F7+[1]STA_SP5_NO!$I$41</f>
        <v>1086492.52</v>
      </c>
      <c r="H7" s="136">
        <v>0</v>
      </c>
      <c r="I7" s="136">
        <v>0</v>
      </c>
      <c r="J7" s="136">
        <f>[1]STA_SP5_NO!$M$41</f>
        <v>0</v>
      </c>
      <c r="K7" s="137">
        <f>C7+D7+G7+J7</f>
        <v>2173180.89</v>
      </c>
    </row>
    <row r="8" spans="1:11" x14ac:dyDescent="0.25">
      <c r="A8" s="88">
        <v>2</v>
      </c>
      <c r="B8" s="93" t="s">
        <v>4</v>
      </c>
      <c r="C8" s="138">
        <f>[2]STA_SP5_NO!$C$41+[2]STA_SP5_NO!$K$41</f>
        <v>779902.99</v>
      </c>
      <c r="D8" s="134">
        <f>[2]STA_SP5_NO!$D$41</f>
        <v>65272.58</v>
      </c>
      <c r="E8" s="134">
        <f>[2]STA_SP5_NO!$E$41</f>
        <v>898194.11</v>
      </c>
      <c r="F8" s="134">
        <f>[2]STA_SP5_NO!$G$41</f>
        <v>285682.46999999997</v>
      </c>
      <c r="G8" s="138">
        <f>E8+F8+[2]STA_SP5_NO!$I$41</f>
        <v>1249805.96</v>
      </c>
      <c r="H8" s="138">
        <v>0</v>
      </c>
      <c r="I8" s="138">
        <v>0</v>
      </c>
      <c r="J8" s="138">
        <f>[2]STA_SP5_NO!$M$41</f>
        <v>0</v>
      </c>
      <c r="K8" s="174">
        <f>C8+D8+G8+J8</f>
        <v>2094981.5299999998</v>
      </c>
    </row>
    <row r="9" spans="1:11" x14ac:dyDescent="0.25">
      <c r="A9" s="91">
        <v>3</v>
      </c>
      <c r="B9" s="130" t="s">
        <v>5</v>
      </c>
      <c r="C9" s="133">
        <f>[3]STA_SP5_NO!$C$41+[3]STA_SP5_NO!$K$41</f>
        <v>331850</v>
      </c>
      <c r="D9" s="133">
        <f>[3]STA_SP5_NO!$D$41</f>
        <v>1504</v>
      </c>
      <c r="E9" s="133">
        <f>[3]STA_SP5_NO!$E$41</f>
        <v>197818</v>
      </c>
      <c r="F9" s="133">
        <f>[3]STA_SP5_NO!$G$41</f>
        <v>278398</v>
      </c>
      <c r="G9" s="141">
        <f>E9+F9+[3]STA_SP5_NO!$I$41</f>
        <v>501794</v>
      </c>
      <c r="H9" s="133">
        <v>0</v>
      </c>
      <c r="I9" s="133">
        <v>0</v>
      </c>
      <c r="J9" s="141">
        <f>[3]STA_SP5_NO!$M$41</f>
        <v>0</v>
      </c>
      <c r="K9" s="137">
        <f>C9+D9+G9+J9</f>
        <v>835148</v>
      </c>
    </row>
    <row r="10" spans="1:11" x14ac:dyDescent="0.25">
      <c r="A10" s="88">
        <v>4</v>
      </c>
      <c r="B10" s="93" t="s">
        <v>6</v>
      </c>
      <c r="C10" s="134">
        <f>[4]STA_SP5_NO!$C$41+[4]STA_SP5_NO!$K$41</f>
        <v>744678.26</v>
      </c>
      <c r="D10" s="134">
        <f>[4]STA_SP5_NO!$D$41</f>
        <v>7062.12</v>
      </c>
      <c r="E10" s="134">
        <f>[4]STA_SP5_NO!$E$41</f>
        <v>364551.76</v>
      </c>
      <c r="F10" s="134">
        <f>[4]STA_SP5_NO!$G$41</f>
        <v>258508.27</v>
      </c>
      <c r="G10" s="138">
        <f>E10+F10+[4]STA_SP5_NO!$I$41</f>
        <v>643054.91</v>
      </c>
      <c r="H10" s="134">
        <v>0</v>
      </c>
      <c r="I10" s="134">
        <v>0</v>
      </c>
      <c r="J10" s="138">
        <f>[4]STA_SP5_NO!$M$41</f>
        <v>0</v>
      </c>
      <c r="K10" s="174">
        <f t="shared" ref="K10" si="1">C10+D10+G10+J10</f>
        <v>1394795.29</v>
      </c>
    </row>
    <row r="11" spans="1:11" x14ac:dyDescent="0.25">
      <c r="A11" s="90">
        <v>5</v>
      </c>
      <c r="B11" s="93" t="s">
        <v>8</v>
      </c>
      <c r="C11" s="134">
        <f>[5]STA_SP5_NO!$C$41+[5]STA_SP5_NO!$K$41</f>
        <v>1422810</v>
      </c>
      <c r="D11" s="134">
        <f>[5]STA_SP5_NO!$D$41</f>
        <v>6456</v>
      </c>
      <c r="E11" s="134">
        <f>[5]STA_SP5_NO!$E$41</f>
        <v>367758</v>
      </c>
      <c r="F11" s="134">
        <f>[5]STA_SP5_NO!$G$41</f>
        <v>271272</v>
      </c>
      <c r="G11" s="138">
        <f>E11+F11+[5]STA_SP5_NO!$I$41</f>
        <v>645172</v>
      </c>
      <c r="H11" s="134">
        <v>0</v>
      </c>
      <c r="I11" s="134">
        <v>0</v>
      </c>
      <c r="J11" s="138">
        <f>[5]STA_SP5_NO!$M$41</f>
        <v>0</v>
      </c>
      <c r="K11" s="174">
        <f t="shared" ref="K11:K17" si="2">C11+D11+G11+J11</f>
        <v>2074438</v>
      </c>
    </row>
    <row r="12" spans="1:11" x14ac:dyDescent="0.25">
      <c r="A12" s="88">
        <v>6</v>
      </c>
      <c r="B12" s="130" t="s">
        <v>94</v>
      </c>
      <c r="C12" s="133">
        <f>[6]STA_SP5_NO!$C$41+[6]STA_SP5_NO!$K$41</f>
        <v>334097.63</v>
      </c>
      <c r="D12" s="133">
        <f>[6]STA_SP5_NO!$D$41</f>
        <v>0</v>
      </c>
      <c r="E12" s="133">
        <f>[6]STA_SP5_NO!$E$41</f>
        <v>220697.32</v>
      </c>
      <c r="F12" s="133">
        <f>[6]STA_SP5_NO!$G$41</f>
        <v>115440.42</v>
      </c>
      <c r="G12" s="141">
        <f>E12+F12+[6]STA_SP5_NO!$I$41</f>
        <v>338586.44</v>
      </c>
      <c r="H12" s="133">
        <v>0</v>
      </c>
      <c r="I12" s="133">
        <v>0</v>
      </c>
      <c r="J12" s="141">
        <f>[6]STA_SP5_NO!$M$41</f>
        <v>0</v>
      </c>
      <c r="K12" s="137">
        <f t="shared" si="2"/>
        <v>672684.07000000007</v>
      </c>
    </row>
    <row r="13" spans="1:11" x14ac:dyDescent="0.25">
      <c r="A13" s="91">
        <v>7</v>
      </c>
      <c r="B13" s="93" t="s">
        <v>9</v>
      </c>
      <c r="C13" s="134">
        <f>[7]STA_SP5_NO!$C$41+[7]STA_SP5_NO!$K$41</f>
        <v>852105</v>
      </c>
      <c r="D13" s="134">
        <f>[7]STA_SP5_NO!$D$41</f>
        <v>9</v>
      </c>
      <c r="E13" s="134">
        <f>[7]STA_SP5_NO!$E$41</f>
        <v>210766</v>
      </c>
      <c r="F13" s="134">
        <f>[7]STA_SP5_NO!$G$41</f>
        <v>310243</v>
      </c>
      <c r="G13" s="138">
        <f>E13+F13+[7]STA_SP5_NO!$I$41</f>
        <v>530648</v>
      </c>
      <c r="H13" s="134">
        <v>0</v>
      </c>
      <c r="I13" s="134">
        <v>0</v>
      </c>
      <c r="J13" s="138">
        <f>[7]STA_SP5_NO!$M$41</f>
        <v>0</v>
      </c>
      <c r="K13" s="174">
        <f t="shared" si="2"/>
        <v>1382762</v>
      </c>
    </row>
    <row r="14" spans="1:11" x14ac:dyDescent="0.25">
      <c r="A14" s="88">
        <v>8</v>
      </c>
      <c r="B14" s="130" t="s">
        <v>38</v>
      </c>
      <c r="C14" s="133">
        <f>[8]STA_SP5_NO!$C$41+[8]STA_SP5_NO!$K$41</f>
        <v>447735.25</v>
      </c>
      <c r="D14" s="133">
        <f>[8]STA_SP5_NO!$D$41</f>
        <v>4618.45</v>
      </c>
      <c r="E14" s="133">
        <f>[8]STA_SP5_NO!$E$41</f>
        <v>203547</v>
      </c>
      <c r="F14" s="133">
        <f>[8]STA_SP5_NO!$G$41</f>
        <v>293270.43</v>
      </c>
      <c r="G14" s="141">
        <f>E14+F14+[8]STA_SP5_NO!$I$41</f>
        <v>505471.52999999997</v>
      </c>
      <c r="H14" s="133">
        <v>0</v>
      </c>
      <c r="I14" s="133">
        <v>0</v>
      </c>
      <c r="J14" s="141">
        <f>[8]STA_SP5_NO!$M$41</f>
        <v>34645.11</v>
      </c>
      <c r="K14" s="137">
        <f t="shared" si="2"/>
        <v>992470.34</v>
      </c>
    </row>
    <row r="15" spans="1:11" x14ac:dyDescent="0.25">
      <c r="A15" s="90">
        <v>9</v>
      </c>
      <c r="B15" s="93" t="s">
        <v>93</v>
      </c>
      <c r="C15" s="138">
        <f>[9]STA_SP5_NO!$C$41+[9]STA_SP5_NO!$K$41</f>
        <v>615978.94000000006</v>
      </c>
      <c r="D15" s="138">
        <f>[9]STA_SP5_NO!$D$41</f>
        <v>3232.9</v>
      </c>
      <c r="E15" s="138">
        <f>[9]STA_SP5_NO!$E$41</f>
        <v>247676.61</v>
      </c>
      <c r="F15" s="138">
        <f>[9]STA_SP5_NO!$G$41</f>
        <v>242777.11</v>
      </c>
      <c r="G15" s="138">
        <f>E15+F15+[9]STA_SP5_NO!$I$41</f>
        <v>503884.97</v>
      </c>
      <c r="H15" s="134">
        <v>0</v>
      </c>
      <c r="I15" s="134">
        <v>0</v>
      </c>
      <c r="J15" s="138">
        <f>[9]STA_SP5_NO!$M$41</f>
        <v>0</v>
      </c>
      <c r="K15" s="174">
        <f t="shared" si="2"/>
        <v>1123096.81</v>
      </c>
    </row>
    <row r="16" spans="1:11" x14ac:dyDescent="0.25">
      <c r="A16" s="88">
        <v>10</v>
      </c>
      <c r="B16" s="131" t="s">
        <v>11</v>
      </c>
      <c r="C16" s="140">
        <f>[10]STA_SP5_NO!$C$41+[10]STA_SP5_NO!$K$41</f>
        <v>728345</v>
      </c>
      <c r="D16" s="139">
        <f>[10]STA_SP5_NO!$D$41</f>
        <v>16051</v>
      </c>
      <c r="E16" s="140">
        <f>[10]STA_SP5_NO!$E$41</f>
        <v>339167</v>
      </c>
      <c r="F16" s="140">
        <f>[10]STA_SP5_NO!$G$41</f>
        <v>386875</v>
      </c>
      <c r="G16" s="139">
        <f>E16+F16+[10]STA_SP5_NO!$I$41</f>
        <v>741825</v>
      </c>
      <c r="H16" s="140">
        <v>0</v>
      </c>
      <c r="I16" s="140">
        <v>0</v>
      </c>
      <c r="J16" s="139">
        <f>[10]STA_SP5_NO!$M$41</f>
        <v>0</v>
      </c>
      <c r="K16" s="219">
        <f t="shared" si="2"/>
        <v>1486221</v>
      </c>
    </row>
    <row r="17" spans="1:11" s="1" customFormat="1" ht="15.75" thickBot="1" x14ac:dyDescent="0.3">
      <c r="A17" s="91">
        <v>11</v>
      </c>
      <c r="B17" s="287" t="s">
        <v>96</v>
      </c>
      <c r="C17" s="288">
        <f>[11]STA_SP5_NO!$C$41+[11]STA_SP5_NO!$K$41</f>
        <v>29681.11</v>
      </c>
      <c r="D17" s="289">
        <f>[11]STA_SP5_NO!$D$41</f>
        <v>0</v>
      </c>
      <c r="E17" s="288">
        <f>[11]STA_SP5_NO!$E$41</f>
        <v>3377.1</v>
      </c>
      <c r="F17" s="288">
        <f>[11]STA_SP5_NO!$G$41</f>
        <v>23836.28</v>
      </c>
      <c r="G17" s="289">
        <f>E17+F17+[11]STA_SP5_NO!$I$41</f>
        <v>27349.639999999996</v>
      </c>
      <c r="H17" s="288">
        <v>0</v>
      </c>
      <c r="I17" s="288">
        <v>0</v>
      </c>
      <c r="J17" s="289">
        <f>[11]STA_SP5_NO!$M$41</f>
        <v>0</v>
      </c>
      <c r="K17" s="289">
        <f t="shared" si="2"/>
        <v>57030.75</v>
      </c>
    </row>
    <row r="18" spans="1:11" ht="15.75" thickBot="1" x14ac:dyDescent="0.3">
      <c r="A18" s="275"/>
      <c r="B18" s="276" t="s">
        <v>56</v>
      </c>
      <c r="C18" s="282">
        <f>SUM(C19:C24)</f>
        <v>49895.16</v>
      </c>
      <c r="D18" s="283">
        <f>SUM(D19:D24)</f>
        <v>113046</v>
      </c>
      <c r="E18" s="283">
        <f>SUM(E19:E24)</f>
        <v>79955.25</v>
      </c>
      <c r="F18" s="283">
        <f>SUM(F19:F24)</f>
        <v>30622.09</v>
      </c>
      <c r="G18" s="284">
        <f>G19+G20+G21+G22+G23+G24</f>
        <v>116250.18</v>
      </c>
      <c r="H18" s="283">
        <f>SUM(H19:H24)</f>
        <v>0</v>
      </c>
      <c r="I18" s="283">
        <f>SUM(I19:I24)</f>
        <v>11415061.030000001</v>
      </c>
      <c r="J18" s="283">
        <f>SUM(J19:J24)</f>
        <v>0</v>
      </c>
      <c r="K18" s="284">
        <f>SUM(K19:K24)</f>
        <v>11694252.370000001</v>
      </c>
    </row>
    <row r="19" spans="1:11" x14ac:dyDescent="0.25">
      <c r="A19" s="91">
        <v>1</v>
      </c>
      <c r="B19" s="130" t="s">
        <v>11</v>
      </c>
      <c r="C19" s="98">
        <f>[12]STA_SP4_ZO!$C$51</f>
        <v>19418</v>
      </c>
      <c r="D19" s="98">
        <f>[12]STA_SP4_ZO!$F$51</f>
        <v>0</v>
      </c>
      <c r="E19" s="98">
        <f>[12]STA_SP4_ZO!$G$51</f>
        <v>25014</v>
      </c>
      <c r="F19" s="204">
        <f>[12]STA_SP4_ZO!$H$51</f>
        <v>4911</v>
      </c>
      <c r="G19" s="141">
        <f>E19+F19+[12]STA_SP4_ZO!$J$51</f>
        <v>30668</v>
      </c>
      <c r="H19" s="133">
        <v>0</v>
      </c>
      <c r="I19" s="141">
        <f>[12]STA_SP4_ZO!$D$51+[12]STA_SP4_ZO!$E$51</f>
        <v>4089825</v>
      </c>
      <c r="J19" s="133">
        <v>0</v>
      </c>
      <c r="K19" s="137">
        <f t="shared" ref="K19:K24" si="3">C19+D19+G19+I19+J19</f>
        <v>4139911</v>
      </c>
    </row>
    <row r="20" spans="1:11" x14ac:dyDescent="0.25">
      <c r="A20" s="88">
        <v>2</v>
      </c>
      <c r="B20" s="93" t="s">
        <v>32</v>
      </c>
      <c r="C20" s="206">
        <f>[13]STA_SP4_ZO!$C$51</f>
        <v>13677</v>
      </c>
      <c r="D20" s="206">
        <f>[13]STA_SP4_ZO!$F$51</f>
        <v>113046</v>
      </c>
      <c r="E20" s="206">
        <f>[13]STA_SP4_ZO!$G$51</f>
        <v>40058</v>
      </c>
      <c r="F20" s="203">
        <f>[13]STA_SP4_ZO!$H$51</f>
        <v>10725</v>
      </c>
      <c r="G20" s="138">
        <f>[13]STA_SP4_ZO!$J$51+E20+F20</f>
        <v>51458</v>
      </c>
      <c r="H20" s="134">
        <v>0</v>
      </c>
      <c r="I20" s="134">
        <f>[13]STA_SP4_ZO!$D$51+[13]STA_SP4_ZO!$E$51</f>
        <v>3468484</v>
      </c>
      <c r="J20" s="134">
        <v>0</v>
      </c>
      <c r="K20" s="174">
        <f t="shared" si="3"/>
        <v>3646665</v>
      </c>
    </row>
    <row r="21" spans="1:11" x14ac:dyDescent="0.25">
      <c r="A21" s="91">
        <v>3</v>
      </c>
      <c r="B21" s="130" t="s">
        <v>7</v>
      </c>
      <c r="C21" s="133">
        <f>[14]STA_SP4_ZO!$C$51</f>
        <v>6024</v>
      </c>
      <c r="D21" s="133">
        <f>[14]STA_SP4_ZO!$F$51</f>
        <v>0</v>
      </c>
      <c r="E21" s="133">
        <f>[14]STA_SP4_ZO!$G$51</f>
        <v>5647.71</v>
      </c>
      <c r="F21" s="204">
        <f>[14]STA_SP4_ZO!$H$51</f>
        <v>12334.58</v>
      </c>
      <c r="G21" s="141">
        <f>[14]STA_SP4_ZO!$J$51+E21+F21</f>
        <v>21131.11</v>
      </c>
      <c r="H21" s="133">
        <v>0</v>
      </c>
      <c r="I21" s="141">
        <f>[14]STA_SP4_ZO!$D$51+[14]STA_SP4_ZO!$E$51</f>
        <v>1918759.89</v>
      </c>
      <c r="J21" s="133">
        <v>0</v>
      </c>
      <c r="K21" s="137">
        <f t="shared" si="3"/>
        <v>1945915</v>
      </c>
    </row>
    <row r="22" spans="1:11" x14ac:dyDescent="0.25">
      <c r="A22" s="107">
        <v>4</v>
      </c>
      <c r="B22" s="132" t="s">
        <v>9</v>
      </c>
      <c r="C22" s="135">
        <f>[15]STA_SP4_ZO!$C$51</f>
        <v>8617</v>
      </c>
      <c r="D22" s="135">
        <f>[15]STA_SP4_ZO!$F$51</f>
        <v>0</v>
      </c>
      <c r="E22" s="135">
        <f>[15]STA_SP4_ZO!$G$51</f>
        <v>6099</v>
      </c>
      <c r="F22" s="205">
        <f>[15]STA_SP4_ZO!$H$51</f>
        <v>1886</v>
      </c>
      <c r="G22" s="199">
        <f>E22+F22+[15]STA_SP4_ZO!$J$51</f>
        <v>8905</v>
      </c>
      <c r="H22" s="135">
        <v>0</v>
      </c>
      <c r="I22" s="135">
        <f>[15]STA_SP4_ZO!$D$51+[15]STA_SP4_ZO!$E$51</f>
        <v>922455</v>
      </c>
      <c r="J22" s="135">
        <v>0</v>
      </c>
      <c r="K22" s="174">
        <f t="shared" si="3"/>
        <v>939977</v>
      </c>
    </row>
    <row r="23" spans="1:11" s="1" customFormat="1" x14ac:dyDescent="0.25">
      <c r="A23" s="92">
        <v>5</v>
      </c>
      <c r="B23" s="131" t="s">
        <v>4</v>
      </c>
      <c r="C23" s="140">
        <f>[16]STA_SP4_ZO!$C$51</f>
        <v>1094.9100000000001</v>
      </c>
      <c r="D23" s="217">
        <f>[16]STA_SP4_ZO!$F$51</f>
        <v>0</v>
      </c>
      <c r="E23" s="140">
        <f>[16]STA_SP4_ZO!$G$51</f>
        <v>3136.54</v>
      </c>
      <c r="F23" s="218">
        <f>[16]STA_SP4_ZO!$H$51</f>
        <v>563.5</v>
      </c>
      <c r="G23" s="139">
        <f>E23+F23+[16]STA_SP4_ZO!$J$51</f>
        <v>3885.04</v>
      </c>
      <c r="H23" s="140">
        <v>0</v>
      </c>
      <c r="I23" s="140">
        <f>[16]STA_SP4_ZO!$D$51+[16]STA_SP4_ZO!$E$51</f>
        <v>1001134.76</v>
      </c>
      <c r="J23" s="140">
        <v>0</v>
      </c>
      <c r="K23" s="219">
        <f t="shared" si="3"/>
        <v>1006114.71</v>
      </c>
    </row>
    <row r="24" spans="1:11" s="1" customFormat="1" x14ac:dyDescent="0.25">
      <c r="A24" s="221">
        <v>6</v>
      </c>
      <c r="B24" s="222" t="s">
        <v>95</v>
      </c>
      <c r="C24" s="223">
        <f>[17]STA_SP4_ZO!$C$51</f>
        <v>1064.25</v>
      </c>
      <c r="D24" s="223">
        <f>[17]STA_SP4_ZO!$F$51</f>
        <v>0</v>
      </c>
      <c r="E24" s="223">
        <f>[17]STA_SP4_ZO!$G$51</f>
        <v>0</v>
      </c>
      <c r="F24" s="223">
        <f>[17]STA_SP4_ZO!$H$51</f>
        <v>202.01</v>
      </c>
      <c r="G24" s="223">
        <f>E24+F24+[17]STA_SP4_ZO!$J$51</f>
        <v>203.03</v>
      </c>
      <c r="H24" s="220">
        <v>0</v>
      </c>
      <c r="I24" s="223">
        <f>[17]STA_SP4_ZO!$D$51+[17]STA_SP4_ZO!$E$51</f>
        <v>14402.380000000001</v>
      </c>
      <c r="J24" s="224">
        <v>0</v>
      </c>
      <c r="K24" s="225">
        <f t="shared" si="3"/>
        <v>15669.660000000002</v>
      </c>
    </row>
    <row r="25" spans="1:11" ht="15.75" thickBot="1" x14ac:dyDescent="0.3">
      <c r="A25" s="572" t="s">
        <v>30</v>
      </c>
      <c r="B25" s="573"/>
      <c r="C25" s="285">
        <f t="shared" ref="C25:K25" si="4">C6+C18</f>
        <v>7418197.6600000011</v>
      </c>
      <c r="D25" s="285">
        <f t="shared" si="4"/>
        <v>222822.09999999998</v>
      </c>
      <c r="E25" s="285">
        <f t="shared" si="4"/>
        <v>3790562.1999999997</v>
      </c>
      <c r="F25" s="285">
        <f t="shared" si="4"/>
        <v>2914542.1399999997</v>
      </c>
      <c r="G25" s="286">
        <f t="shared" si="4"/>
        <v>6890335.1499999994</v>
      </c>
      <c r="H25" s="285">
        <f t="shared" si="4"/>
        <v>0</v>
      </c>
      <c r="I25" s="285">
        <f t="shared" si="4"/>
        <v>11415061.030000001</v>
      </c>
      <c r="J25" s="285">
        <f t="shared" si="4"/>
        <v>34645.11</v>
      </c>
      <c r="K25" s="286">
        <f t="shared" si="4"/>
        <v>25981061.050000004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1">
    <mergeCell ref="A25:B25"/>
    <mergeCell ref="I4:I5"/>
    <mergeCell ref="J4:J5"/>
    <mergeCell ref="K4:K5"/>
    <mergeCell ref="B2:H2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S17" sqref="S17"/>
    </sheetView>
  </sheetViews>
  <sheetFormatPr defaultRowHeight="15" x14ac:dyDescent="0.25"/>
  <cols>
    <col min="1" max="1" width="4.28515625" customWidth="1"/>
    <col min="2" max="2" width="27.85546875" customWidth="1"/>
    <col min="3" max="3" width="11" bestFit="1" customWidth="1"/>
    <col min="8" max="8" width="10.42578125" customWidth="1"/>
    <col min="10" max="10" width="10.28515625" bestFit="1" customWidth="1"/>
  </cols>
  <sheetData>
    <row r="1" spans="1:14" ht="23.25" customHeight="1" thickBot="1" x14ac:dyDescent="0.3">
      <c r="A1" s="152"/>
      <c r="B1" s="152"/>
      <c r="C1" s="425" t="s">
        <v>98</v>
      </c>
      <c r="D1" s="426"/>
      <c r="E1" s="426"/>
      <c r="F1" s="426"/>
      <c r="G1" s="426"/>
      <c r="H1" s="426"/>
      <c r="I1" s="426"/>
      <c r="J1" s="2"/>
      <c r="K1" s="2"/>
      <c r="L1" s="2"/>
      <c r="M1" s="2"/>
      <c r="N1" s="8"/>
    </row>
    <row r="2" spans="1:14" ht="15.75" thickBot="1" x14ac:dyDescent="0.3">
      <c r="A2" s="427" t="s">
        <v>0</v>
      </c>
      <c r="B2" s="437" t="s">
        <v>1</v>
      </c>
      <c r="C2" s="438" t="s">
        <v>2</v>
      </c>
      <c r="D2" s="439"/>
      <c r="E2" s="439"/>
      <c r="F2" s="439"/>
      <c r="G2" s="439"/>
      <c r="H2" s="439"/>
      <c r="I2" s="439"/>
      <c r="J2" s="439"/>
      <c r="K2" s="439"/>
      <c r="L2" s="439"/>
      <c r="M2" s="440"/>
      <c r="N2" s="413" t="s">
        <v>3</v>
      </c>
    </row>
    <row r="3" spans="1:14" ht="15.75" thickBot="1" x14ac:dyDescent="0.3">
      <c r="A3" s="428"/>
      <c r="B3" s="430"/>
      <c r="C3" s="228" t="s">
        <v>69</v>
      </c>
      <c r="D3" s="227" t="s">
        <v>4</v>
      </c>
      <c r="E3" s="228" t="s">
        <v>5</v>
      </c>
      <c r="F3" s="167" t="s">
        <v>6</v>
      </c>
      <c r="G3" s="326" t="s">
        <v>8</v>
      </c>
      <c r="H3" s="252" t="s">
        <v>94</v>
      </c>
      <c r="I3" s="326" t="s">
        <v>9</v>
      </c>
      <c r="J3" s="252" t="s">
        <v>10</v>
      </c>
      <c r="K3" s="326" t="s">
        <v>93</v>
      </c>
      <c r="L3" s="252" t="s">
        <v>11</v>
      </c>
      <c r="M3" s="331" t="s">
        <v>96</v>
      </c>
      <c r="N3" s="414"/>
    </row>
    <row r="4" spans="1:14" ht="15.75" thickBot="1" x14ac:dyDescent="0.3">
      <c r="A4" s="5">
        <v>1</v>
      </c>
      <c r="B4" s="9" t="s">
        <v>12</v>
      </c>
      <c r="C4" s="142">
        <f>[1]STA_SP1_NO!$C$10</f>
        <v>49361</v>
      </c>
      <c r="D4" s="145">
        <f>[2]STA_SP1_NO!$C$10</f>
        <v>25267</v>
      </c>
      <c r="E4" s="142">
        <f>[3]STA_SP1_NO!$C$10</f>
        <v>13987</v>
      </c>
      <c r="F4" s="144">
        <f>[4]STA_SP1_NO!$C$10</f>
        <v>73924</v>
      </c>
      <c r="G4" s="318">
        <f>[5]STA_SP1_NO!$C$10</f>
        <v>28506</v>
      </c>
      <c r="H4" s="144">
        <f>[6]STA_SP1_NO!$C$10</f>
        <v>34291</v>
      </c>
      <c r="I4" s="318">
        <f>[7]STA_SP1_NO!$C$10</f>
        <v>51394</v>
      </c>
      <c r="J4" s="144">
        <f>[8]STA_SP1_NO!$C$10</f>
        <v>32469</v>
      </c>
      <c r="K4" s="318">
        <f>[9]STA_SP1_NO!$C$10</f>
        <v>33468</v>
      </c>
      <c r="L4" s="330">
        <f>[10]STA_SP1_NO!$C$10</f>
        <v>64452</v>
      </c>
      <c r="M4" s="332">
        <f>[11]STA_SP1_NO!$C$10</f>
        <v>3444</v>
      </c>
      <c r="N4" s="238">
        <f t="shared" ref="N4:N22" si="0">SUM(C4:M4)</f>
        <v>410563</v>
      </c>
    </row>
    <row r="5" spans="1:14" ht="15.75" thickBot="1" x14ac:dyDescent="0.3">
      <c r="A5" s="4">
        <v>2</v>
      </c>
      <c r="B5" s="10" t="s">
        <v>13</v>
      </c>
      <c r="C5" s="142">
        <f>[1]STA_SP1_NO!$C$20</f>
        <v>723</v>
      </c>
      <c r="D5" s="145">
        <f>[2]STA_SP1_NO!$C$20</f>
        <v>13464</v>
      </c>
      <c r="E5" s="142">
        <f>[3]STA_SP1_NO!$C$20</f>
        <v>64</v>
      </c>
      <c r="F5" s="144">
        <f>[4]STA_SP1_NO!$C$20</f>
        <v>8663</v>
      </c>
      <c r="G5" s="318">
        <f>[5]STA_SP1_NO!$C$20</f>
        <v>750</v>
      </c>
      <c r="H5" s="144">
        <f>[6]STA_SP1_NO!$C$20</f>
        <v>0</v>
      </c>
      <c r="I5" s="318">
        <f>[7]STA_SP1_NO!$C$20</f>
        <v>458</v>
      </c>
      <c r="J5" s="144">
        <f>[8]STA_SP1_NO!$C$20</f>
        <v>0</v>
      </c>
      <c r="K5" s="318">
        <f>[9]STA_SP1_NO!$C$20</f>
        <v>4044</v>
      </c>
      <c r="L5" s="330">
        <f>[10]STA_SP1_NO!$C$20</f>
        <v>1340</v>
      </c>
      <c r="M5" s="332">
        <f>[11]STA_SP1_NO!$C$20</f>
        <v>0</v>
      </c>
      <c r="N5" s="239">
        <f t="shared" si="0"/>
        <v>29506</v>
      </c>
    </row>
    <row r="6" spans="1:14" ht="15.75" thickBot="1" x14ac:dyDescent="0.3">
      <c r="A6" s="4">
        <v>3</v>
      </c>
      <c r="B6" s="10" t="s">
        <v>14</v>
      </c>
      <c r="C6" s="142">
        <f>[1]STA_SP1_NO!$C$24</f>
        <v>3629</v>
      </c>
      <c r="D6" s="145">
        <f>[2]STA_SP1_NO!$C$24</f>
        <v>3737</v>
      </c>
      <c r="E6" s="142">
        <f>[3]STA_SP1_NO!$C$24</f>
        <v>5747</v>
      </c>
      <c r="F6" s="144">
        <f>[4]STA_SP1_NO!$C$24</f>
        <v>4787</v>
      </c>
      <c r="G6" s="318">
        <f>[5]STA_SP1_NO!$C$24</f>
        <v>2927</v>
      </c>
      <c r="H6" s="144">
        <f>[6]STA_SP1_NO!$C$24</f>
        <v>623</v>
      </c>
      <c r="I6" s="318">
        <f>[7]STA_SP1_NO!$C$24</f>
        <v>2000</v>
      </c>
      <c r="J6" s="144">
        <f>[8]STA_SP1_NO!$C$24</f>
        <v>3124</v>
      </c>
      <c r="K6" s="318">
        <f>[9]STA_SP1_NO!$C$24</f>
        <v>2301</v>
      </c>
      <c r="L6" s="330">
        <f>[10]STA_SP1_NO!$C$24</f>
        <v>2484</v>
      </c>
      <c r="M6" s="332">
        <f>[11]STA_SP1_NO!$C$24</f>
        <v>112</v>
      </c>
      <c r="N6" s="240">
        <f t="shared" si="0"/>
        <v>31471</v>
      </c>
    </row>
    <row r="7" spans="1:14" ht="15.75" thickBot="1" x14ac:dyDescent="0.3">
      <c r="A7" s="4">
        <v>4</v>
      </c>
      <c r="B7" s="10" t="s">
        <v>15</v>
      </c>
      <c r="C7" s="142">
        <f>[1]STA_SP1_NO!$C$27</f>
        <v>0</v>
      </c>
      <c r="D7" s="145">
        <f>[2]STA_SP1_NO!$C$27</f>
        <v>0</v>
      </c>
      <c r="E7" s="142">
        <f>[3]STA_SP1_NO!$C$27</f>
        <v>0</v>
      </c>
      <c r="F7" s="144">
        <f>[4]STA_SP1_NO!$C$27</f>
        <v>0</v>
      </c>
      <c r="G7" s="318">
        <f>[5]STA_SP1_NO!$C$27</f>
        <v>0</v>
      </c>
      <c r="H7" s="144">
        <f>[6]STA_SP1_NO!$C$27</f>
        <v>0</v>
      </c>
      <c r="I7" s="318">
        <f>[7]STA_SP1_NO!$C$27</f>
        <v>0</v>
      </c>
      <c r="J7" s="144">
        <f>[8]STA_SP1_NO!$C$27</f>
        <v>0</v>
      </c>
      <c r="K7" s="318">
        <f>[9]STA_SP1_NO!$C$27</f>
        <v>0</v>
      </c>
      <c r="L7" s="330">
        <f>[10]STA_SP1_NO!$C$27</f>
        <v>0</v>
      </c>
      <c r="M7" s="332">
        <f>[11]STA_SP1_NO!$C$27</f>
        <v>0</v>
      </c>
      <c r="N7" s="239">
        <f t="shared" si="0"/>
        <v>0</v>
      </c>
    </row>
    <row r="8" spans="1:14" ht="15.75" thickBot="1" x14ac:dyDescent="0.3">
      <c r="A8" s="4">
        <v>5</v>
      </c>
      <c r="B8" s="10" t="s">
        <v>16</v>
      </c>
      <c r="C8" s="142">
        <f>[1]STA_SP1_NO!$C$30</f>
        <v>0</v>
      </c>
      <c r="D8" s="145">
        <f>[2]STA_SP1_NO!$C$30</f>
        <v>0</v>
      </c>
      <c r="E8" s="142">
        <f>[3]STA_SP1_NO!$C$30</f>
        <v>0</v>
      </c>
      <c r="F8" s="144">
        <f>[4]STA_SP1_NO!$C$30</f>
        <v>0</v>
      </c>
      <c r="G8" s="318">
        <f>[5]STA_SP1_NO!$C$30</f>
        <v>4</v>
      </c>
      <c r="H8" s="144">
        <f>[6]STA_SP1_NO!$C$30</f>
        <v>0</v>
      </c>
      <c r="I8" s="318">
        <f>[7]STA_SP1_NO!$C$30</f>
        <v>0</v>
      </c>
      <c r="J8" s="144">
        <f>[8]STA_SP1_NO!$C$30</f>
        <v>2</v>
      </c>
      <c r="K8" s="318">
        <f>[9]STA_SP1_NO!$C$30</f>
        <v>0</v>
      </c>
      <c r="L8" s="330">
        <f>[10]STA_SP1_NO!$C$30</f>
        <v>1</v>
      </c>
      <c r="M8" s="332">
        <f>[11]STA_SP1_NO!$C$30</f>
        <v>0</v>
      </c>
      <c r="N8" s="239">
        <f t="shared" si="0"/>
        <v>7</v>
      </c>
    </row>
    <row r="9" spans="1:14" ht="15.75" thickBot="1" x14ac:dyDescent="0.3">
      <c r="A9" s="4">
        <v>6</v>
      </c>
      <c r="B9" s="10" t="s">
        <v>17</v>
      </c>
      <c r="C9" s="142">
        <f>[1]STA_SP1_NO!$C$33</f>
        <v>2</v>
      </c>
      <c r="D9" s="145">
        <f>[2]STA_SP1_NO!$C$33</f>
        <v>2</v>
      </c>
      <c r="E9" s="142">
        <f>[3]STA_SP1_NO!$C$33</f>
        <v>0</v>
      </c>
      <c r="F9" s="144">
        <f>[4]STA_SP1_NO!$C$33</f>
        <v>17</v>
      </c>
      <c r="G9" s="318">
        <f>[5]STA_SP1_NO!$C$33</f>
        <v>0</v>
      </c>
      <c r="H9" s="144">
        <f>[6]STA_SP1_NO!$C$33</f>
        <v>0</v>
      </c>
      <c r="I9" s="318">
        <f>[7]STA_SP1_NO!$C$33</f>
        <v>1</v>
      </c>
      <c r="J9" s="144">
        <f>[8]STA_SP1_NO!$C$33</f>
        <v>5</v>
      </c>
      <c r="K9" s="318">
        <f>[9]STA_SP1_NO!$C$33</f>
        <v>1</v>
      </c>
      <c r="L9" s="330">
        <f>[10]STA_SP1_NO!$C$33</f>
        <v>0</v>
      </c>
      <c r="M9" s="332">
        <f>[11]STA_SP1_NO!$C$33</f>
        <v>0</v>
      </c>
      <c r="N9" s="239">
        <f t="shared" si="0"/>
        <v>28</v>
      </c>
    </row>
    <row r="10" spans="1:14" ht="15.75" thickBot="1" x14ac:dyDescent="0.3">
      <c r="A10" s="4">
        <v>7</v>
      </c>
      <c r="B10" s="10" t="s">
        <v>18</v>
      </c>
      <c r="C10" s="142">
        <f>[1]STA_SP1_NO!$C$36</f>
        <v>116</v>
      </c>
      <c r="D10" s="145">
        <f>[2]STA_SP1_NO!$C$36</f>
        <v>348</v>
      </c>
      <c r="E10" s="142">
        <f>[3]STA_SP1_NO!$C$36</f>
        <v>142</v>
      </c>
      <c r="F10" s="144">
        <f>[4]STA_SP1_NO!$C$36</f>
        <v>129</v>
      </c>
      <c r="G10" s="318">
        <f>[5]STA_SP1_NO!$C$36</f>
        <v>302</v>
      </c>
      <c r="H10" s="144">
        <f>[6]STA_SP1_NO!$C$36</f>
        <v>0</v>
      </c>
      <c r="I10" s="318">
        <f>[7]STA_SP1_NO!$C$36</f>
        <v>101</v>
      </c>
      <c r="J10" s="144">
        <f>[8]STA_SP1_NO!$C$36</f>
        <v>100</v>
      </c>
      <c r="K10" s="318">
        <f>[9]STA_SP1_NO!$C$36</f>
        <v>95</v>
      </c>
      <c r="L10" s="330">
        <f>[10]STA_SP1_NO!$C$36</f>
        <v>15</v>
      </c>
      <c r="M10" s="332">
        <f>[11]STA_SP1_NO!$C$36</f>
        <v>0</v>
      </c>
      <c r="N10" s="239">
        <f t="shared" si="0"/>
        <v>1348</v>
      </c>
    </row>
    <row r="11" spans="1:14" ht="15.75" thickBot="1" x14ac:dyDescent="0.3">
      <c r="A11" s="4">
        <v>8</v>
      </c>
      <c r="B11" s="10" t="s">
        <v>19</v>
      </c>
      <c r="C11" s="142">
        <f>[1]STA_SP1_NO!$C$40</f>
        <v>7956</v>
      </c>
      <c r="D11" s="145">
        <f>[2]STA_SP1_NO!$C$40</f>
        <v>10778</v>
      </c>
      <c r="E11" s="142">
        <f>[3]STA_SP1_NO!$C$40</f>
        <v>2892</v>
      </c>
      <c r="F11" s="144">
        <f>[4]STA_SP1_NO!$C$40</f>
        <v>13474</v>
      </c>
      <c r="G11" s="318">
        <f>[5]STA_SP1_NO!$C$40</f>
        <v>7157</v>
      </c>
      <c r="H11" s="144">
        <f>[6]STA_SP1_NO!$C$40</f>
        <v>548</v>
      </c>
      <c r="I11" s="318">
        <f>[7]STA_SP1_NO!$C$40</f>
        <v>2858</v>
      </c>
      <c r="J11" s="144">
        <f>[8]STA_SP1_NO!$C$40</f>
        <v>3780</v>
      </c>
      <c r="K11" s="318">
        <f>[9]STA_SP1_NO!$C$40</f>
        <v>3802</v>
      </c>
      <c r="L11" s="330">
        <f>[10]STA_SP1_NO!$C$40</f>
        <v>11046</v>
      </c>
      <c r="M11" s="332">
        <f>[11]STA_SP1_NO!$C$40</f>
        <v>22</v>
      </c>
      <c r="N11" s="240">
        <f t="shared" si="0"/>
        <v>64313</v>
      </c>
    </row>
    <row r="12" spans="1:14" ht="15.75" thickBot="1" x14ac:dyDescent="0.3">
      <c r="A12" s="4">
        <v>9</v>
      </c>
      <c r="B12" s="10" t="s">
        <v>20</v>
      </c>
      <c r="C12" s="142">
        <f>[1]STA_SP1_NO!$C$56</f>
        <v>8816</v>
      </c>
      <c r="D12" s="145">
        <f>[2]STA_SP1_NO!$C$56</f>
        <v>12640</v>
      </c>
      <c r="E12" s="142">
        <f>[3]STA_SP1_NO!$C$56</f>
        <v>1123</v>
      </c>
      <c r="F12" s="144">
        <f>[4]STA_SP1_NO!$C$56</f>
        <v>23013</v>
      </c>
      <c r="G12" s="318">
        <f>[5]STA_SP1_NO!$C$56</f>
        <v>6184</v>
      </c>
      <c r="H12" s="144">
        <f>[6]STA_SP1_NO!$C$56</f>
        <v>335</v>
      </c>
      <c r="I12" s="318">
        <f>[7]STA_SP1_NO!$C$56</f>
        <v>1614</v>
      </c>
      <c r="J12" s="144">
        <f>[8]STA_SP1_NO!$C$56</f>
        <v>1817</v>
      </c>
      <c r="K12" s="318">
        <f>[9]STA_SP1_NO!$C$56</f>
        <v>4065</v>
      </c>
      <c r="L12" s="330">
        <f>[10]STA_SP1_NO!$C$56</f>
        <v>10185</v>
      </c>
      <c r="M12" s="332">
        <f>[11]STA_SP1_NO!$C$56</f>
        <v>16</v>
      </c>
      <c r="N12" s="240">
        <f t="shared" si="0"/>
        <v>69808</v>
      </c>
    </row>
    <row r="13" spans="1:14" ht="15.75" thickBot="1" x14ac:dyDescent="0.3">
      <c r="A13" s="4">
        <v>10</v>
      </c>
      <c r="B13" s="10" t="s">
        <v>21</v>
      </c>
      <c r="C13" s="142">
        <f>[1]STA_SP1_NO!$C$88</f>
        <v>71884</v>
      </c>
      <c r="D13" s="145">
        <f>[2]STA_SP1_NO!$C$88</f>
        <v>40418</v>
      </c>
      <c r="E13" s="142">
        <f>[3]STA_SP1_NO!$C$88</f>
        <v>39740</v>
      </c>
      <c r="F13" s="144">
        <f>[4]STA_SP1_NO!$C$88</f>
        <v>46459</v>
      </c>
      <c r="G13" s="318">
        <f>[5]STA_SP1_NO!$C$88</f>
        <v>43796</v>
      </c>
      <c r="H13" s="144">
        <f>[6]STA_SP1_NO!$C$88</f>
        <v>56057</v>
      </c>
      <c r="I13" s="318">
        <f>[7]STA_SP1_NO!$C$88</f>
        <v>91113</v>
      </c>
      <c r="J13" s="144">
        <f>[8]STA_SP1_NO!$C$88</f>
        <v>48790</v>
      </c>
      <c r="K13" s="318">
        <f>[9]STA_SP1_NO!$C$88</f>
        <v>31465</v>
      </c>
      <c r="L13" s="330">
        <f>[10]STA_SP1_NO!$C$88</f>
        <v>61061</v>
      </c>
      <c r="M13" s="332">
        <f>[11]STA_SP1_NO!$C$88</f>
        <v>5272</v>
      </c>
      <c r="N13" s="240">
        <f t="shared" si="0"/>
        <v>536055</v>
      </c>
    </row>
    <row r="14" spans="1:14" ht="15.75" thickBot="1" x14ac:dyDescent="0.3">
      <c r="A14" s="4">
        <v>11</v>
      </c>
      <c r="B14" s="10" t="s">
        <v>22</v>
      </c>
      <c r="C14" s="142">
        <f>[1]STA_SP1_NO!$C$124</f>
        <v>10</v>
      </c>
      <c r="D14" s="145">
        <f>[2]STA_SP1_NO!$C$124</f>
        <v>128</v>
      </c>
      <c r="E14" s="142">
        <f>[3]STA_SP1_NO!$C$124</f>
        <v>0</v>
      </c>
      <c r="F14" s="144">
        <f>[4]STA_SP1_NO!$C$124</f>
        <v>0</v>
      </c>
      <c r="G14" s="318">
        <f>[5]STA_SP1_NO!$C$124</f>
        <v>2</v>
      </c>
      <c r="H14" s="144">
        <f>[6]STA_SP1_NO!$C$124</f>
        <v>0</v>
      </c>
      <c r="I14" s="318">
        <f>[7]STA_SP1_NO!$C$124</f>
        <v>0</v>
      </c>
      <c r="J14" s="144">
        <f>[8]STA_SP1_NO!$C$124</f>
        <v>43</v>
      </c>
      <c r="K14" s="318">
        <f>[9]STA_SP1_NO!$C$124</f>
        <v>0</v>
      </c>
      <c r="L14" s="330">
        <f>[10]STA_SP1_NO!$C$124</f>
        <v>2</v>
      </c>
      <c r="M14" s="332">
        <f>[11]STA_SP1_NO!$C$124</f>
        <v>0</v>
      </c>
      <c r="N14" s="239">
        <f t="shared" si="0"/>
        <v>185</v>
      </c>
    </row>
    <row r="15" spans="1:14" ht="15.75" thickBot="1" x14ac:dyDescent="0.3">
      <c r="A15" s="4">
        <v>12</v>
      </c>
      <c r="B15" s="10" t="s">
        <v>23</v>
      </c>
      <c r="C15" s="142">
        <f>[1]STA_SP1_NO!$C$128</f>
        <v>87</v>
      </c>
      <c r="D15" s="145">
        <f>[2]STA_SP1_NO!$C$128</f>
        <v>22</v>
      </c>
      <c r="E15" s="142">
        <f>[3]STA_SP1_NO!$C$128</f>
        <v>5</v>
      </c>
      <c r="F15" s="144">
        <f>[4]STA_SP1_NO!$C$128</f>
        <v>156</v>
      </c>
      <c r="G15" s="318">
        <f>[5]STA_SP1_NO!$C$128</f>
        <v>108</v>
      </c>
      <c r="H15" s="144">
        <f>[6]STA_SP1_NO!$C$128</f>
        <v>0</v>
      </c>
      <c r="I15" s="318">
        <f>[7]STA_SP1_NO!$C$128</f>
        <v>52</v>
      </c>
      <c r="J15" s="144">
        <f>[8]STA_SP1_NO!$C$128</f>
        <v>78</v>
      </c>
      <c r="K15" s="318">
        <f>[9]STA_SP1_NO!$C$128</f>
        <v>45</v>
      </c>
      <c r="L15" s="330">
        <f>[10]STA_SP1_NO!$C$128</f>
        <v>17</v>
      </c>
      <c r="M15" s="332">
        <f>[11]STA_SP1_NO!$C$128</f>
        <v>0</v>
      </c>
      <c r="N15" s="239">
        <f t="shared" si="0"/>
        <v>570</v>
      </c>
    </row>
    <row r="16" spans="1:14" ht="15.75" thickBot="1" x14ac:dyDescent="0.3">
      <c r="A16" s="4">
        <v>13</v>
      </c>
      <c r="B16" s="10" t="s">
        <v>24</v>
      </c>
      <c r="C16" s="142">
        <f>[1]STA_SP1_NO!$C$132</f>
        <v>3079</v>
      </c>
      <c r="D16" s="145">
        <f>[2]STA_SP1_NO!$C$132</f>
        <v>4720</v>
      </c>
      <c r="E16" s="142">
        <f>[3]STA_SP1_NO!$C$132</f>
        <v>745</v>
      </c>
      <c r="F16" s="144">
        <f>[4]STA_SP1_NO!$C$132</f>
        <v>8781</v>
      </c>
      <c r="G16" s="318">
        <f>[5]STA_SP1_NO!$C$132</f>
        <v>7088</v>
      </c>
      <c r="H16" s="144">
        <f>[6]STA_SP1_NO!$C$132</f>
        <v>183</v>
      </c>
      <c r="I16" s="318">
        <f>[7]STA_SP1_NO!$C$132</f>
        <v>1473</v>
      </c>
      <c r="J16" s="144">
        <f>[8]STA_SP1_NO!$C$132</f>
        <v>2371</v>
      </c>
      <c r="K16" s="318">
        <f>[9]STA_SP1_NO!$C$132</f>
        <v>1681</v>
      </c>
      <c r="L16" s="330">
        <f>[10]STA_SP1_NO!$C$132</f>
        <v>10030</v>
      </c>
      <c r="M16" s="332">
        <f>[11]STA_SP1_NO!$C$132</f>
        <v>16</v>
      </c>
      <c r="N16" s="239">
        <f t="shared" si="0"/>
        <v>40167</v>
      </c>
    </row>
    <row r="17" spans="1:14" ht="15.75" thickBot="1" x14ac:dyDescent="0.3">
      <c r="A17" s="4">
        <v>14</v>
      </c>
      <c r="B17" s="10" t="s">
        <v>25</v>
      </c>
      <c r="C17" s="142">
        <f>[1]STA_SP1_NO!$C$153</f>
        <v>918</v>
      </c>
      <c r="D17" s="145">
        <f>[2]STA_SP1_NO!$C$153</f>
        <v>8458</v>
      </c>
      <c r="E17" s="142">
        <f>[3]STA_SP1_NO!$C$153</f>
        <v>39</v>
      </c>
      <c r="F17" s="144">
        <f>[4]STA_SP1_NO!$C$153</f>
        <v>25</v>
      </c>
      <c r="G17" s="318">
        <f>[5]STA_SP1_NO!$C$153</f>
        <v>0</v>
      </c>
      <c r="H17" s="144">
        <f>[6]STA_SP1_NO!$C$153</f>
        <v>0</v>
      </c>
      <c r="I17" s="318">
        <f>[7]STA_SP1_NO!$C$153</f>
        <v>0</v>
      </c>
      <c r="J17" s="144">
        <f>[8]STA_SP1_NO!$C$153</f>
        <v>0</v>
      </c>
      <c r="K17" s="318">
        <f>[9]STA_SP1_NO!$C$153</f>
        <v>2013</v>
      </c>
      <c r="L17" s="330">
        <f>[10]STA_SP1_NO!$C$153</f>
        <v>412</v>
      </c>
      <c r="M17" s="332">
        <f>[11]STA_SP1_NO!$C$153</f>
        <v>0</v>
      </c>
      <c r="N17" s="239">
        <f t="shared" si="0"/>
        <v>11865</v>
      </c>
    </row>
    <row r="18" spans="1:14" ht="15.75" thickBot="1" x14ac:dyDescent="0.3">
      <c r="A18" s="4">
        <v>15</v>
      </c>
      <c r="B18" s="10" t="s">
        <v>26</v>
      </c>
      <c r="C18" s="142">
        <f>[1]STA_SP1_NO!$C$158</f>
        <v>0</v>
      </c>
      <c r="D18" s="145">
        <f>[2]STA_SP1_NO!$C$158</f>
        <v>0</v>
      </c>
      <c r="E18" s="142">
        <f>[3]STA_SP1_NO!$C$158</f>
        <v>7</v>
      </c>
      <c r="F18" s="144">
        <f>[4]STA_SP1_NO!$C$158</f>
        <v>0</v>
      </c>
      <c r="G18" s="318">
        <f>[5]STA_SP1_NO!$C$158</f>
        <v>3</v>
      </c>
      <c r="H18" s="144">
        <f>[6]STA_SP1_NO!$C$158</f>
        <v>0</v>
      </c>
      <c r="I18" s="318">
        <f>[7]STA_SP1_NO!$C$158</f>
        <v>0</v>
      </c>
      <c r="J18" s="144">
        <f>[8]STA_SP1_NO!$C$158</f>
        <v>0</v>
      </c>
      <c r="K18" s="318">
        <f>[9]STA_SP1_NO!$C$158</f>
        <v>3</v>
      </c>
      <c r="L18" s="330">
        <f>[10]STA_SP1_NO!$C$158</f>
        <v>0</v>
      </c>
      <c r="M18" s="332">
        <f>[11]STA_SP1_NO!$C$158</f>
        <v>0</v>
      </c>
      <c r="N18" s="239">
        <f t="shared" si="0"/>
        <v>13</v>
      </c>
    </row>
    <row r="19" spans="1:14" ht="15.75" thickBot="1" x14ac:dyDescent="0.3">
      <c r="A19" s="4">
        <v>16</v>
      </c>
      <c r="B19" s="10" t="s">
        <v>27</v>
      </c>
      <c r="C19" s="142">
        <f>[1]STA_SP1_NO!$C$161</f>
        <v>18</v>
      </c>
      <c r="D19" s="145">
        <f>[2]STA_SP1_NO!$C$161</f>
        <v>36</v>
      </c>
      <c r="E19" s="142">
        <f>[3]STA_SP1_NO!$C$161</f>
        <v>2</v>
      </c>
      <c r="F19" s="144">
        <f>[4]STA_SP1_NO!$C$161</f>
        <v>186</v>
      </c>
      <c r="G19" s="318">
        <f>[5]STA_SP1_NO!$C$161</f>
        <v>538</v>
      </c>
      <c r="H19" s="144">
        <f>[6]STA_SP1_NO!$C$161</f>
        <v>0</v>
      </c>
      <c r="I19" s="318">
        <f>[7]STA_SP1_NO!$C$161</f>
        <v>12</v>
      </c>
      <c r="J19" s="144">
        <f>[8]STA_SP1_NO!$C$161</f>
        <v>0</v>
      </c>
      <c r="K19" s="318">
        <f>[9]STA_SP1_NO!$C$161</f>
        <v>18</v>
      </c>
      <c r="L19" s="330">
        <f>[10]STA_SP1_NO!$C$161</f>
        <v>10</v>
      </c>
      <c r="M19" s="332">
        <f>[11]STA_SP1_NO!$C$161</f>
        <v>0</v>
      </c>
      <c r="N19" s="239">
        <f t="shared" si="0"/>
        <v>820</v>
      </c>
    </row>
    <row r="20" spans="1:14" ht="15.75" thickBot="1" x14ac:dyDescent="0.3">
      <c r="A20" s="4">
        <v>17</v>
      </c>
      <c r="B20" s="10" t="s">
        <v>28</v>
      </c>
      <c r="C20" s="142">
        <f>[1]STA_SP1_NO!$C$167</f>
        <v>0</v>
      </c>
      <c r="D20" s="145">
        <f>[2]STA_SP1_NO!$C$167</f>
        <v>0</v>
      </c>
      <c r="E20" s="142">
        <f>[3]STA_SP1_NO!$C$167</f>
        <v>0</v>
      </c>
      <c r="F20" s="144">
        <f>[4]STA_SP1_NO!$C$167</f>
        <v>0</v>
      </c>
      <c r="G20" s="318">
        <f>[5]STA_SP1_NO!$C$167</f>
        <v>0</v>
      </c>
      <c r="H20" s="144">
        <f>[6]STA_SP1_NO!$C$167</f>
        <v>0</v>
      </c>
      <c r="I20" s="318">
        <f>[7]STA_SP1_NO!$C$167</f>
        <v>0</v>
      </c>
      <c r="J20" s="144">
        <f>[8]STA_SP1_NO!$C$167</f>
        <v>0</v>
      </c>
      <c r="K20" s="318">
        <f>[9]STA_SP1_NO!$C$167</f>
        <v>0</v>
      </c>
      <c r="L20" s="330">
        <f>[10]STA_SP1_NO!$C$167</f>
        <v>0</v>
      </c>
      <c r="M20" s="332">
        <f>[11]STA_SP1_NO!$C$167</f>
        <v>0</v>
      </c>
      <c r="N20" s="239">
        <f t="shared" si="0"/>
        <v>0</v>
      </c>
    </row>
    <row r="21" spans="1:14" ht="15.75" thickBot="1" x14ac:dyDescent="0.3">
      <c r="A21" s="6">
        <v>18</v>
      </c>
      <c r="B21" s="11" t="s">
        <v>29</v>
      </c>
      <c r="C21" s="142">
        <f>[1]STA_SP1_NO!$C$170</f>
        <v>15493</v>
      </c>
      <c r="D21" s="145">
        <f>[2]STA_SP1_NO!$C$170</f>
        <v>48171</v>
      </c>
      <c r="E21" s="142">
        <f>[3]STA_SP1_NO!$C$170</f>
        <v>6845</v>
      </c>
      <c r="F21" s="144">
        <f>[4]STA_SP1_NO!$C$170</f>
        <v>40904</v>
      </c>
      <c r="G21" s="318">
        <f>[5]STA_SP1_NO!$C$170</f>
        <v>45895</v>
      </c>
      <c r="H21" s="144">
        <f>[6]STA_SP1_NO!$C$170</f>
        <v>3603</v>
      </c>
      <c r="I21" s="318">
        <f>[7]STA_SP1_NO!$C$170</f>
        <v>19999</v>
      </c>
      <c r="J21" s="144">
        <f>[8]STA_SP1_NO!$C$170</f>
        <v>14606</v>
      </c>
      <c r="K21" s="318">
        <f>[9]STA_SP1_NO!$C$170</f>
        <v>9827</v>
      </c>
      <c r="L21" s="144">
        <f>[10]STA_SP1_NO!$C$170</f>
        <v>16365</v>
      </c>
      <c r="M21" s="332">
        <f>[11]STA_SP1_NO!$C$170</f>
        <v>86</v>
      </c>
      <c r="N21" s="241">
        <f t="shared" si="0"/>
        <v>221794</v>
      </c>
    </row>
    <row r="22" spans="1:14" ht="15.75" thickBot="1" x14ac:dyDescent="0.3">
      <c r="A22" s="7"/>
      <c r="B22" s="19" t="s">
        <v>30</v>
      </c>
      <c r="C22" s="111">
        <f>[1]STA_SP1_NO!$C$175</f>
        <v>105425</v>
      </c>
      <c r="D22" s="112">
        <f>[2]STA_SP1_NO!$C$175</f>
        <v>127663</v>
      </c>
      <c r="E22" s="113">
        <f>[3]STA_SP1_NO!$C$175</f>
        <v>56409</v>
      </c>
      <c r="F22" s="325">
        <f>[4]STA_SP1_NO!$C$175</f>
        <v>127981</v>
      </c>
      <c r="G22" s="327">
        <f>[5]STA_SP1_NO!$C$175</f>
        <v>102293</v>
      </c>
      <c r="H22" s="325">
        <f>[6]STA_SP1_NO!$C$175</f>
        <v>60767</v>
      </c>
      <c r="I22" s="327">
        <f>[7]STA_SP1_NO!$C$175</f>
        <v>116825</v>
      </c>
      <c r="J22" s="325">
        <f>[8]STA_SP1_NO!$C$175</f>
        <v>72360</v>
      </c>
      <c r="K22" s="327">
        <f>[9]STA_SP1_NO!$C$175</f>
        <v>67185</v>
      </c>
      <c r="L22" s="325">
        <f>[10]STA_SP1_NO!$C$175</f>
        <v>118268</v>
      </c>
      <c r="M22" s="333">
        <f>[11]STA_SP1_NO!$C$175</f>
        <v>5494</v>
      </c>
      <c r="N22" s="242">
        <f t="shared" si="0"/>
        <v>960670</v>
      </c>
    </row>
    <row r="23" spans="1:14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75" thickBot="1" x14ac:dyDescent="0.3">
      <c r="A24" s="419" t="s">
        <v>31</v>
      </c>
      <c r="B24" s="420"/>
      <c r="C24" s="23">
        <f>C22/N22</f>
        <v>0.10974111817793832</v>
      </c>
      <c r="D24" s="24">
        <f>D22/N22</f>
        <v>0.13288954583780069</v>
      </c>
      <c r="E24" s="25">
        <f>E22/N22</f>
        <v>5.8718394453870733E-2</v>
      </c>
      <c r="F24" s="329">
        <f>F22/N22</f>
        <v>0.13322056481414013</v>
      </c>
      <c r="G24" s="328">
        <f>G22/N22</f>
        <v>0.10648089354304809</v>
      </c>
      <c r="H24" s="329">
        <f>H22/N22</f>
        <v>6.3254811745968961E-2</v>
      </c>
      <c r="I24" s="328">
        <f>I22/N22</f>
        <v>0.12160783619765372</v>
      </c>
      <c r="J24" s="329">
        <f>J22/N22</f>
        <v>7.5322431219877792E-2</v>
      </c>
      <c r="K24" s="328">
        <f>K22/N22</f>
        <v>6.9935565803033298E-2</v>
      </c>
      <c r="L24" s="329">
        <f>L22/N22</f>
        <v>0.12310991287330716</v>
      </c>
      <c r="M24" s="334">
        <f>M22/N22</f>
        <v>5.7189253333610919E-3</v>
      </c>
      <c r="N24" s="245">
        <f>SUM(C24:M24)</f>
        <v>0.99999999999999989</v>
      </c>
    </row>
    <row r="25" spans="1:14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427" t="s">
        <v>0</v>
      </c>
      <c r="B26" s="429" t="s">
        <v>1</v>
      </c>
      <c r="C26" s="445" t="s">
        <v>90</v>
      </c>
      <c r="D26" s="446"/>
      <c r="E26" s="446"/>
      <c r="F26" s="446"/>
      <c r="G26" s="446"/>
      <c r="H26" s="447"/>
      <c r="I26" s="443" t="s">
        <v>3</v>
      </c>
      <c r="J26" s="1"/>
      <c r="K26" s="1"/>
      <c r="L26" s="1"/>
      <c r="M26" s="1"/>
      <c r="N26" s="1"/>
    </row>
    <row r="27" spans="1:14" ht="15.75" thickBot="1" x14ac:dyDescent="0.3">
      <c r="A27" s="428"/>
      <c r="B27" s="431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44"/>
      <c r="J27" s="81"/>
      <c r="K27" s="415" t="s">
        <v>33</v>
      </c>
      <c r="L27" s="416"/>
      <c r="M27" s="232">
        <f>N22</f>
        <v>960670</v>
      </c>
      <c r="N27" s="233">
        <f>M27/M29</f>
        <v>0.98582328101510031</v>
      </c>
    </row>
    <row r="28" spans="1:14" ht="15.75" thickBot="1" x14ac:dyDescent="0.3">
      <c r="A28" s="22">
        <v>19</v>
      </c>
      <c r="B28" s="80" t="s">
        <v>34</v>
      </c>
      <c r="C28" s="187">
        <f>[12]STA_SP1_ZO!$I$51</f>
        <v>2831</v>
      </c>
      <c r="D28" s="209">
        <f>[13]STA_SP1_ZO!$I$51</f>
        <v>734</v>
      </c>
      <c r="E28" s="187">
        <f>[14]STA_SP1_ZO!$I$51</f>
        <v>1242</v>
      </c>
      <c r="F28" s="186">
        <f>[15]STA_SP1_ZO!$I$51</f>
        <v>4965</v>
      </c>
      <c r="G28" s="187">
        <f>[16]STA_SP1_ZO!$I$51</f>
        <v>3457</v>
      </c>
      <c r="H28" s="212">
        <f>[17]STA_SP1_ZO!$I$51</f>
        <v>586</v>
      </c>
      <c r="I28" s="243">
        <f>SUM(C28:H28)</f>
        <v>13815</v>
      </c>
      <c r="J28" s="81"/>
      <c r="K28" s="415" t="s">
        <v>34</v>
      </c>
      <c r="L28" s="416"/>
      <c r="M28" s="234">
        <f>I28</f>
        <v>13815</v>
      </c>
      <c r="N28" s="235">
        <f>M28/M29</f>
        <v>1.4176718984899717E-2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41" t="s">
        <v>3</v>
      </c>
      <c r="L29" s="442"/>
      <c r="M29" s="236">
        <f>M27+M28</f>
        <v>974485</v>
      </c>
      <c r="N29" s="237">
        <f>M29/M29</f>
        <v>1</v>
      </c>
    </row>
    <row r="30" spans="1:14" ht="15.75" thickBot="1" x14ac:dyDescent="0.3">
      <c r="A30" s="419" t="s">
        <v>35</v>
      </c>
      <c r="B30" s="420"/>
      <c r="C30" s="23">
        <f>C28/I28</f>
        <v>0.20492218602967788</v>
      </c>
      <c r="D30" s="82">
        <f>D28/I28</f>
        <v>5.3130655085052478E-2</v>
      </c>
      <c r="E30" s="23">
        <f>E28/I28</f>
        <v>8.9902280130293166E-2</v>
      </c>
      <c r="F30" s="82">
        <f>F28/I28</f>
        <v>0.35939196525515743</v>
      </c>
      <c r="G30" s="23">
        <f>G28/I28</f>
        <v>0.25023525153818316</v>
      </c>
      <c r="H30" s="82">
        <f>H28/I28</f>
        <v>4.2417661961635905E-2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K29:L29"/>
    <mergeCell ref="A30:B30"/>
    <mergeCell ref="A26:A27"/>
    <mergeCell ref="B26:B27"/>
    <mergeCell ref="K27:L27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scale="9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K21" sqref="K21"/>
    </sheetView>
  </sheetViews>
  <sheetFormatPr defaultRowHeight="15" x14ac:dyDescent="0.25"/>
  <cols>
    <col min="3" max="3" width="15" customWidth="1"/>
    <col min="4" max="4" width="17.28515625" customWidth="1"/>
    <col min="5" max="5" width="19.140625" customWidth="1"/>
    <col min="6" max="6" width="24.42578125" customWidth="1"/>
    <col min="7" max="7" width="25.85546875" customWidth="1"/>
  </cols>
  <sheetData>
    <row r="1" spans="1:8" x14ac:dyDescent="0.25">
      <c r="A1" s="173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585" t="s">
        <v>120</v>
      </c>
      <c r="C4" s="585"/>
      <c r="D4" s="585"/>
      <c r="E4" s="585"/>
      <c r="F4" s="585"/>
      <c r="G4" s="585"/>
      <c r="H4" s="585"/>
    </row>
    <row r="5" spans="1:8" x14ac:dyDescent="0.25">
      <c r="A5" s="1"/>
      <c r="B5" s="159"/>
      <c r="C5" s="160"/>
      <c r="D5" s="160"/>
      <c r="E5" s="160"/>
      <c r="F5" s="160"/>
      <c r="G5" s="160"/>
      <c r="H5" s="160"/>
    </row>
    <row r="6" spans="1:8" ht="15.75" thickBot="1" x14ac:dyDescent="0.3">
      <c r="A6" s="1"/>
      <c r="B6" s="1"/>
      <c r="C6" s="1"/>
      <c r="D6" s="1"/>
      <c r="E6" s="1"/>
      <c r="F6" s="1"/>
      <c r="G6" s="79"/>
      <c r="H6" s="1"/>
    </row>
    <row r="7" spans="1:8" ht="15" customHeight="1" x14ac:dyDescent="0.25">
      <c r="A7" s="1"/>
      <c r="B7" s="586" t="s">
        <v>3</v>
      </c>
      <c r="C7" s="587"/>
      <c r="D7" s="590" t="s">
        <v>61</v>
      </c>
      <c r="E7" s="592" t="s">
        <v>62</v>
      </c>
      <c r="F7" s="592" t="s">
        <v>63</v>
      </c>
      <c r="G7" s="594" t="s">
        <v>59</v>
      </c>
      <c r="H7" s="1"/>
    </row>
    <row r="8" spans="1:8" ht="23.25" customHeight="1" x14ac:dyDescent="0.25">
      <c r="A8" s="1"/>
      <c r="B8" s="588"/>
      <c r="C8" s="589"/>
      <c r="D8" s="591"/>
      <c r="E8" s="593"/>
      <c r="F8" s="593"/>
      <c r="G8" s="595"/>
      <c r="H8" s="1"/>
    </row>
    <row r="9" spans="1:8" ht="45" customHeight="1" x14ac:dyDescent="0.25">
      <c r="A9" s="1"/>
      <c r="B9" s="579" t="s">
        <v>64</v>
      </c>
      <c r="C9" s="580"/>
      <c r="D9" s="175">
        <f>[18]Vkupno!$C$12</f>
        <v>188</v>
      </c>
      <c r="E9" s="175">
        <f>[18]Vkupno!$D$12</f>
        <v>21511.49</v>
      </c>
      <c r="F9" s="175">
        <f>[18]Vkupno!$F$12</f>
        <v>655</v>
      </c>
      <c r="G9" s="176">
        <f>[18]Vkupno!$G$12</f>
        <v>138482.09000000003</v>
      </c>
      <c r="H9" s="1"/>
    </row>
    <row r="10" spans="1:8" ht="45" customHeight="1" x14ac:dyDescent="0.25">
      <c r="A10" s="1"/>
      <c r="B10" s="579" t="s">
        <v>65</v>
      </c>
      <c r="C10" s="580"/>
      <c r="D10" s="175">
        <f>[18]Vkupno!$C$21</f>
        <v>36</v>
      </c>
      <c r="E10" s="175">
        <f>[18]Vkupno!$D$21</f>
        <v>7998.57</v>
      </c>
      <c r="F10" s="175">
        <f>[18]Vkupno!$F$21</f>
        <v>194</v>
      </c>
      <c r="G10" s="176">
        <f>[18]Vkupno!$G$21</f>
        <v>46589.17</v>
      </c>
      <c r="H10" s="1"/>
    </row>
    <row r="11" spans="1:8" ht="38.25" customHeight="1" x14ac:dyDescent="0.25">
      <c r="A11" s="1"/>
      <c r="B11" s="581" t="s">
        <v>3</v>
      </c>
      <c r="C11" s="582"/>
      <c r="D11" s="177">
        <f>D9+D10</f>
        <v>224</v>
      </c>
      <c r="E11" s="178">
        <f>E9+E10</f>
        <v>29510.06</v>
      </c>
      <c r="F11" s="177">
        <f>F9+F10</f>
        <v>849</v>
      </c>
      <c r="G11" s="179">
        <f>G9+G10</f>
        <v>185071.26</v>
      </c>
      <c r="H11" s="1"/>
    </row>
    <row r="12" spans="1:8" ht="53.25" customHeight="1" thickBot="1" x14ac:dyDescent="0.3">
      <c r="A12" s="1"/>
      <c r="B12" s="583" t="s">
        <v>66</v>
      </c>
      <c r="C12" s="584"/>
      <c r="D12" s="175">
        <f>[18]Vkupno!$C$22</f>
        <v>342</v>
      </c>
      <c r="E12" s="175">
        <f>[18]Vkupno!$D$22</f>
        <v>44482.18</v>
      </c>
      <c r="F12" s="175">
        <f>[18]Vkupno!$F$22</f>
        <v>508</v>
      </c>
      <c r="G12" s="176">
        <f>[18]Vkupno!$G$22</f>
        <v>124615.57999999999</v>
      </c>
      <c r="H12" s="1"/>
    </row>
  </sheetData>
  <mergeCells count="10">
    <mergeCell ref="B9:C9"/>
    <mergeCell ref="B10:C10"/>
    <mergeCell ref="B11:C11"/>
    <mergeCell ref="B12:C12"/>
    <mergeCell ref="B4:H4"/>
    <mergeCell ref="B7:C8"/>
    <mergeCell ref="D7:D8"/>
    <mergeCell ref="E7:E8"/>
    <mergeCell ref="F7:F8"/>
    <mergeCell ref="G7:G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Q14" sqref="Q14"/>
    </sheetView>
  </sheetViews>
  <sheetFormatPr defaultRowHeight="15" x14ac:dyDescent="0.25"/>
  <cols>
    <col min="1" max="1" width="4" customWidth="1"/>
    <col min="2" max="2" width="28.42578125" customWidth="1"/>
    <col min="3" max="3" width="11" bestFit="1" customWidth="1"/>
    <col min="4" max="4" width="9.85546875" bestFit="1" customWidth="1"/>
    <col min="6" max="6" width="9.140625" customWidth="1"/>
    <col min="8" max="8" width="9.85546875" bestFit="1" customWidth="1"/>
  </cols>
  <sheetData>
    <row r="1" spans="1:14" ht="31.5" customHeight="1" thickBot="1" x14ac:dyDescent="0.3">
      <c r="A1" s="120"/>
      <c r="B1" s="120"/>
      <c r="C1" s="460" t="s">
        <v>99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155" t="s">
        <v>36</v>
      </c>
    </row>
    <row r="2" spans="1:14" ht="15.75" thickBot="1" x14ac:dyDescent="0.3">
      <c r="A2" s="463" t="s">
        <v>0</v>
      </c>
      <c r="B2" s="465" t="s">
        <v>1</v>
      </c>
      <c r="C2" s="469" t="s">
        <v>2</v>
      </c>
      <c r="D2" s="470"/>
      <c r="E2" s="470"/>
      <c r="F2" s="470"/>
      <c r="G2" s="470"/>
      <c r="H2" s="470"/>
      <c r="I2" s="470"/>
      <c r="J2" s="470"/>
      <c r="K2" s="470"/>
      <c r="L2" s="470"/>
      <c r="M2" s="471"/>
      <c r="N2" s="467" t="s">
        <v>3</v>
      </c>
    </row>
    <row r="3" spans="1:14" ht="15.75" thickBot="1" x14ac:dyDescent="0.3">
      <c r="A3" s="464"/>
      <c r="B3" s="466"/>
      <c r="C3" s="21" t="s">
        <v>69</v>
      </c>
      <c r="D3" s="27" t="s">
        <v>4</v>
      </c>
      <c r="E3" s="335" t="s">
        <v>5</v>
      </c>
      <c r="F3" s="27" t="s">
        <v>6</v>
      </c>
      <c r="G3" s="28" t="s">
        <v>8</v>
      </c>
      <c r="H3" s="167" t="s">
        <v>94</v>
      </c>
      <c r="I3" s="28" t="s">
        <v>9</v>
      </c>
      <c r="J3" s="337" t="s">
        <v>10</v>
      </c>
      <c r="K3" s="349" t="s">
        <v>93</v>
      </c>
      <c r="L3" s="339" t="s">
        <v>11</v>
      </c>
      <c r="M3" s="340" t="s">
        <v>96</v>
      </c>
      <c r="N3" s="468"/>
    </row>
    <row r="4" spans="1:14" ht="15.75" thickBot="1" x14ac:dyDescent="0.3">
      <c r="A4" s="30">
        <v>1</v>
      </c>
      <c r="B4" s="31" t="s">
        <v>12</v>
      </c>
      <c r="C4" s="143">
        <f>[1]STA_SP1_NO!$G$10</f>
        <v>30874.55</v>
      </c>
      <c r="D4" s="118">
        <f>[2]STA_SP1_NO!$G$10</f>
        <v>22287.94</v>
      </c>
      <c r="E4" s="143">
        <f>[3]STA_SP1_NO!$G$10</f>
        <v>3790</v>
      </c>
      <c r="F4" s="118">
        <f>[4]STA_SP1_NO!$G$10</f>
        <v>10606.29</v>
      </c>
      <c r="G4" s="61">
        <f>[5]STA_SP1_NO!$G$10</f>
        <v>39435</v>
      </c>
      <c r="H4" s="144">
        <f>[6]STA_SP1_NO!$G$10</f>
        <v>4581.93</v>
      </c>
      <c r="I4" s="61">
        <f>[7]STA_SP1_NO!$G$10</f>
        <v>13695</v>
      </c>
      <c r="J4" s="68">
        <f>[8]STA_SP1_NO!$G$10</f>
        <v>13574</v>
      </c>
      <c r="K4" s="117">
        <f>[9]STA_SP1_NO!$G$10</f>
        <v>12277.96</v>
      </c>
      <c r="L4" s="68">
        <f>[10]STA_SP1_NO!$G$10</f>
        <v>38656</v>
      </c>
      <c r="M4" s="332">
        <f>[11]STA_SP1_NO!$G$10</f>
        <v>0</v>
      </c>
      <c r="N4" s="249">
        <f t="shared" ref="N4:N21" si="0">SUM(C4:M4)</f>
        <v>189778.66999999998</v>
      </c>
    </row>
    <row r="5" spans="1:14" ht="15.75" thickBot="1" x14ac:dyDescent="0.3">
      <c r="A5" s="32">
        <v>2</v>
      </c>
      <c r="B5" s="33" t="s">
        <v>13</v>
      </c>
      <c r="C5" s="143">
        <f>[1]STA_SP1_NO!$G$20</f>
        <v>100304.46</v>
      </c>
      <c r="D5" s="118">
        <f>[2]STA_SP1_NO!$G$20</f>
        <v>84893.18</v>
      </c>
      <c r="E5" s="143">
        <f>[3]STA_SP1_NO!$G$20</f>
        <v>6219</v>
      </c>
      <c r="F5" s="118">
        <f>[4]STA_SP1_NO!$G$20</f>
        <v>49238.18</v>
      </c>
      <c r="G5" s="61">
        <f>[5]STA_SP1_NO!$G$20</f>
        <v>79142</v>
      </c>
      <c r="H5" s="144">
        <f>[6]STA_SP1_NO!$G$20</f>
        <v>0</v>
      </c>
      <c r="I5" s="61">
        <f>[7]STA_SP1_NO!$G$20</f>
        <v>37153</v>
      </c>
      <c r="J5" s="68">
        <f>[8]STA_SP1_NO!$G$20</f>
        <v>0</v>
      </c>
      <c r="K5" s="117">
        <f>[9]STA_SP1_NO!$G$20</f>
        <v>34729.68</v>
      </c>
      <c r="L5" s="68">
        <f>[10]STA_SP1_NO!$G$20</f>
        <v>77986</v>
      </c>
      <c r="M5" s="332">
        <f>[11]STA_SP1_NO!$G$20</f>
        <v>0</v>
      </c>
      <c r="N5" s="249">
        <f t="shared" si="0"/>
        <v>469665.5</v>
      </c>
    </row>
    <row r="6" spans="1:14" ht="15.75" thickBot="1" x14ac:dyDescent="0.3">
      <c r="A6" s="32">
        <v>3</v>
      </c>
      <c r="B6" s="33" t="s">
        <v>14</v>
      </c>
      <c r="C6" s="143">
        <f>[1]STA_SP1_NO!$G$24</f>
        <v>54117.32</v>
      </c>
      <c r="D6" s="118">
        <f>[2]STA_SP1_NO!$G$24</f>
        <v>47783.37</v>
      </c>
      <c r="E6" s="143">
        <f>[3]STA_SP1_NO!$G$24</f>
        <v>15990</v>
      </c>
      <c r="F6" s="118">
        <f>[4]STA_SP1_NO!$G$24</f>
        <v>82131.570000000007</v>
      </c>
      <c r="G6" s="61">
        <f>[5]STA_SP1_NO!$G$24</f>
        <v>25257</v>
      </c>
      <c r="H6" s="144">
        <f>[6]STA_SP1_NO!$G$24</f>
        <v>6586.94</v>
      </c>
      <c r="I6" s="61">
        <f>[7]STA_SP1_NO!$G$24</f>
        <v>29307</v>
      </c>
      <c r="J6" s="68">
        <f>[8]STA_SP1_NO!$G$24</f>
        <v>28642</v>
      </c>
      <c r="K6" s="117">
        <f>[9]STA_SP1_NO!$G$24</f>
        <v>40644.61</v>
      </c>
      <c r="L6" s="68">
        <f>[10]STA_SP1_NO!$G$24</f>
        <v>31843</v>
      </c>
      <c r="M6" s="332">
        <f>[11]STA_SP1_NO!$G$24</f>
        <v>1129.42</v>
      </c>
      <c r="N6" s="249">
        <f t="shared" si="0"/>
        <v>363432.23</v>
      </c>
    </row>
    <row r="7" spans="1:14" ht="15.75" thickBot="1" x14ac:dyDescent="0.3">
      <c r="A7" s="32">
        <v>4</v>
      </c>
      <c r="B7" s="33" t="s">
        <v>15</v>
      </c>
      <c r="C7" s="143">
        <f>[1]STA_SP1_NO!$G$27</f>
        <v>0</v>
      </c>
      <c r="D7" s="118">
        <f>[2]STA_SP1_NO!$G$27</f>
        <v>0</v>
      </c>
      <c r="E7" s="143">
        <f>[3]STA_SP1_NO!$G$27</f>
        <v>0</v>
      </c>
      <c r="F7" s="118">
        <f>[4]STA_SP1_NO!$G$27</f>
        <v>0</v>
      </c>
      <c r="G7" s="61">
        <f>[5]STA_SP1_NO!$G$27</f>
        <v>0</v>
      </c>
      <c r="H7" s="144">
        <f>[6]STA_SP1_NO!$G$27</f>
        <v>0</v>
      </c>
      <c r="I7" s="61">
        <f>[7]STA_SP1_NO!$G$27</f>
        <v>0</v>
      </c>
      <c r="J7" s="68">
        <f>[8]STA_SP1_NO!$G$27</f>
        <v>0</v>
      </c>
      <c r="K7" s="117">
        <f>[9]STA_SP1_NO!$G$27</f>
        <v>0</v>
      </c>
      <c r="L7" s="68">
        <f>[10]STA_SP1_NO!$G$27</f>
        <v>0</v>
      </c>
      <c r="M7" s="332">
        <f>[11]STA_SP1_NO!$G$27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16</v>
      </c>
      <c r="C8" s="143">
        <f>[1]STA_SP1_NO!$G$30</f>
        <v>0</v>
      </c>
      <c r="D8" s="118">
        <f>[2]STA_SP1_NO!$G$30</f>
        <v>66.260000000000005</v>
      </c>
      <c r="E8" s="143">
        <f>[3]STA_SP1_NO!$G$30</f>
        <v>0</v>
      </c>
      <c r="F8" s="118">
        <f>[4]STA_SP1_NO!$G$30</f>
        <v>0</v>
      </c>
      <c r="G8" s="61">
        <f>[5]STA_SP1_NO!$G$30</f>
        <v>0</v>
      </c>
      <c r="H8" s="144">
        <f>[6]STA_SP1_NO!$G$30</f>
        <v>0</v>
      </c>
      <c r="I8" s="61">
        <f>[7]STA_SP1_NO!$G$30</f>
        <v>0</v>
      </c>
      <c r="J8" s="68">
        <f>[8]STA_SP1_NO!$G$30</f>
        <v>0</v>
      </c>
      <c r="K8" s="117">
        <f>[9]STA_SP1_NO!$G$30</f>
        <v>0</v>
      </c>
      <c r="L8" s="68">
        <f>[10]STA_SP1_NO!$G$30</f>
        <v>0</v>
      </c>
      <c r="M8" s="332">
        <f>[11]STA_SP1_NO!$G$30</f>
        <v>0</v>
      </c>
      <c r="N8" s="249">
        <f t="shared" si="0"/>
        <v>66.260000000000005</v>
      </c>
    </row>
    <row r="9" spans="1:14" ht="15.75" thickBot="1" x14ac:dyDescent="0.3">
      <c r="A9" s="32">
        <v>6</v>
      </c>
      <c r="B9" s="33" t="s">
        <v>17</v>
      </c>
      <c r="C9" s="143">
        <f>[1]STA_SP1_NO!$G$33</f>
        <v>0</v>
      </c>
      <c r="D9" s="118">
        <f>[2]STA_SP1_NO!$G$33</f>
        <v>0</v>
      </c>
      <c r="E9" s="143">
        <f>[3]STA_SP1_NO!$G$33</f>
        <v>0</v>
      </c>
      <c r="F9" s="118">
        <f>[4]STA_SP1_NO!$G$33</f>
        <v>0</v>
      </c>
      <c r="G9" s="61">
        <f>[5]STA_SP1_NO!$G$33</f>
        <v>0</v>
      </c>
      <c r="H9" s="144">
        <f>[6]STA_SP1_NO!$G$33</f>
        <v>0</v>
      </c>
      <c r="I9" s="61">
        <f>[7]STA_SP1_NO!$G$33</f>
        <v>0</v>
      </c>
      <c r="J9" s="68">
        <f>[8]STA_SP1_NO!$G$33</f>
        <v>0</v>
      </c>
      <c r="K9" s="117">
        <f>[9]STA_SP1_NO!$G$33</f>
        <v>1854.17</v>
      </c>
      <c r="L9" s="68">
        <f>[10]STA_SP1_NO!$G$33</f>
        <v>0</v>
      </c>
      <c r="M9" s="332">
        <f>[11]STA_SP1_NO!$G$33</f>
        <v>0</v>
      </c>
      <c r="N9" s="249">
        <f t="shared" si="0"/>
        <v>1854.17</v>
      </c>
    </row>
    <row r="10" spans="1:14" ht="15.75" thickBot="1" x14ac:dyDescent="0.3">
      <c r="A10" s="32">
        <v>7</v>
      </c>
      <c r="B10" s="33" t="s">
        <v>18</v>
      </c>
      <c r="C10" s="143">
        <f>[1]STA_SP1_NO!$G$36</f>
        <v>158.01</v>
      </c>
      <c r="D10" s="118">
        <f>[2]STA_SP1_NO!$G$36</f>
        <v>50906.63</v>
      </c>
      <c r="E10" s="143">
        <f>[3]STA_SP1_NO!$G$36</f>
        <v>36</v>
      </c>
      <c r="F10" s="118">
        <f>[4]STA_SP1_NO!$G$36</f>
        <v>0</v>
      </c>
      <c r="G10" s="61">
        <f>[5]STA_SP1_NO!$G$36</f>
        <v>0</v>
      </c>
      <c r="H10" s="144">
        <f>[6]STA_SP1_NO!$G$36</f>
        <v>0</v>
      </c>
      <c r="I10" s="61">
        <f>[7]STA_SP1_NO!$G$36</f>
        <v>152</v>
      </c>
      <c r="J10" s="68">
        <f>[8]STA_SP1_NO!$G$36</f>
        <v>0</v>
      </c>
      <c r="K10" s="117">
        <f>[9]STA_SP1_NO!$G$36</f>
        <v>0</v>
      </c>
      <c r="L10" s="68">
        <f>[10]STA_SP1_NO!$G$36</f>
        <v>744</v>
      </c>
      <c r="M10" s="332">
        <f>[11]STA_SP1_NO!$G$36</f>
        <v>0</v>
      </c>
      <c r="N10" s="249">
        <f t="shared" si="0"/>
        <v>51996.639999999999</v>
      </c>
    </row>
    <row r="11" spans="1:14" ht="15.75" thickBot="1" x14ac:dyDescent="0.3">
      <c r="A11" s="32">
        <v>8</v>
      </c>
      <c r="B11" s="33" t="s">
        <v>19</v>
      </c>
      <c r="C11" s="143">
        <f>[1]STA_SP1_NO!$G$40</f>
        <v>58024.43</v>
      </c>
      <c r="D11" s="118">
        <f>[2]STA_SP1_NO!$G$40</f>
        <v>5020.0600000000004</v>
      </c>
      <c r="E11" s="143">
        <f>[3]STA_SP1_NO!$G$40</f>
        <v>401</v>
      </c>
      <c r="F11" s="118">
        <f>[4]STA_SP1_NO!$G$40</f>
        <v>114130.74</v>
      </c>
      <c r="G11" s="61">
        <f>[5]STA_SP1_NO!$G$40</f>
        <v>9210</v>
      </c>
      <c r="H11" s="144">
        <f>[6]STA_SP1_NO!$G$40</f>
        <v>54.9</v>
      </c>
      <c r="I11" s="61">
        <f>[7]STA_SP1_NO!$G$40</f>
        <v>13922</v>
      </c>
      <c r="J11" s="68">
        <f>[8]STA_SP1_NO!$G$40</f>
        <v>4227</v>
      </c>
      <c r="K11" s="117">
        <f>[9]STA_SP1_NO!$G$40</f>
        <v>3270.76</v>
      </c>
      <c r="L11" s="68">
        <f>[10]STA_SP1_NO!$G$40</f>
        <v>2448</v>
      </c>
      <c r="M11" s="332">
        <f>[11]STA_SP1_NO!$G$40</f>
        <v>0</v>
      </c>
      <c r="N11" s="249">
        <f t="shared" si="0"/>
        <v>210708.89</v>
      </c>
    </row>
    <row r="12" spans="1:14" ht="15.75" thickBot="1" x14ac:dyDescent="0.3">
      <c r="A12" s="32">
        <v>9</v>
      </c>
      <c r="B12" s="33" t="s">
        <v>20</v>
      </c>
      <c r="C12" s="143">
        <f>[1]STA_SP1_NO!$G$56</f>
        <v>50079.27</v>
      </c>
      <c r="D12" s="118">
        <f>[2]STA_SP1_NO!$G$56</f>
        <v>13654.77</v>
      </c>
      <c r="E12" s="143">
        <f>[3]STA_SP1_NO!$G$56</f>
        <v>3696</v>
      </c>
      <c r="F12" s="118">
        <f>[4]STA_SP1_NO!$G$56</f>
        <v>34517.35</v>
      </c>
      <c r="G12" s="61">
        <f>[5]STA_SP1_NO!$G$56</f>
        <v>1670</v>
      </c>
      <c r="H12" s="144">
        <f>[6]STA_SP1_NO!$G$56</f>
        <v>29.05</v>
      </c>
      <c r="I12" s="61">
        <f>[7]STA_SP1_NO!$G$56</f>
        <v>5285</v>
      </c>
      <c r="J12" s="68">
        <f>[8]STA_SP1_NO!$G$56</f>
        <v>3909</v>
      </c>
      <c r="K12" s="117">
        <f>[9]STA_SP1_NO!$G$56</f>
        <v>3042.98</v>
      </c>
      <c r="L12" s="68">
        <f>[10]STA_SP1_NO!$G$56</f>
        <v>6835</v>
      </c>
      <c r="M12" s="332">
        <f>[11]STA_SP1_NO!$G$56</f>
        <v>54.76</v>
      </c>
      <c r="N12" s="249">
        <f t="shared" si="0"/>
        <v>122773.17999999998</v>
      </c>
    </row>
    <row r="13" spans="1:14" ht="15.75" thickBot="1" x14ac:dyDescent="0.3">
      <c r="A13" s="32">
        <v>10</v>
      </c>
      <c r="B13" s="33" t="s">
        <v>21</v>
      </c>
      <c r="C13" s="143">
        <f>[1]STA_SP1_NO!$G$88</f>
        <v>237230.05</v>
      </c>
      <c r="D13" s="118">
        <f>[2]STA_SP1_NO!$G$88</f>
        <v>106526.83</v>
      </c>
      <c r="E13" s="143">
        <f>[3]STA_SP1_NO!$G$88</f>
        <v>77318</v>
      </c>
      <c r="F13" s="118">
        <f>[4]STA_SP1_NO!$G$88</f>
        <v>104214.59</v>
      </c>
      <c r="G13" s="61">
        <f>[5]STA_SP1_NO!$G$88</f>
        <v>100339</v>
      </c>
      <c r="H13" s="144">
        <f>[6]STA_SP1_NO!$G$88</f>
        <v>120210.95</v>
      </c>
      <c r="I13" s="61">
        <f>[7]STA_SP1_NO!$G$88</f>
        <v>206076</v>
      </c>
      <c r="J13" s="68">
        <f>[8]STA_SP1_NO!$G$88</f>
        <v>96390</v>
      </c>
      <c r="K13" s="117">
        <f>[9]STA_SP1_NO!$G$88</f>
        <v>106761.8</v>
      </c>
      <c r="L13" s="68">
        <f>[10]STA_SP1_NO!$G$88</f>
        <v>110989</v>
      </c>
      <c r="M13" s="332">
        <f>[11]STA_SP1_NO!$G$88</f>
        <v>5686.81</v>
      </c>
      <c r="N13" s="249">
        <f t="shared" si="0"/>
        <v>1271743.03</v>
      </c>
    </row>
    <row r="14" spans="1:14" ht="15.75" thickBot="1" x14ac:dyDescent="0.3">
      <c r="A14" s="32">
        <v>11</v>
      </c>
      <c r="B14" s="33" t="s">
        <v>22</v>
      </c>
      <c r="C14" s="143">
        <f>[1]STA_SP1_NO!$G$124</f>
        <v>0</v>
      </c>
      <c r="D14" s="118">
        <f>[2]STA_SP1_NO!$G$124</f>
        <v>0</v>
      </c>
      <c r="E14" s="143">
        <f>[3]STA_SP1_NO!$G$124</f>
        <v>0</v>
      </c>
      <c r="F14" s="118">
        <f>[4]STA_SP1_NO!$G$124</f>
        <v>0</v>
      </c>
      <c r="G14" s="61">
        <f>[5]STA_SP1_NO!$G$124</f>
        <v>0</v>
      </c>
      <c r="H14" s="144">
        <f>[6]STA_SP1_NO!$G$124</f>
        <v>0</v>
      </c>
      <c r="I14" s="61">
        <f>[7]STA_SP1_NO!$G$124</f>
        <v>0</v>
      </c>
      <c r="J14" s="68">
        <f>[8]STA_SP1_NO!$G$124</f>
        <v>0</v>
      </c>
      <c r="K14" s="117">
        <f>[9]STA_SP1_NO!$G$124</f>
        <v>0</v>
      </c>
      <c r="L14" s="68">
        <f>[10]STA_SP1_NO!$G$124</f>
        <v>0</v>
      </c>
      <c r="M14" s="332">
        <f>[11]STA_SP1_NO!$G$124</f>
        <v>0</v>
      </c>
      <c r="N14" s="249">
        <f t="shared" si="0"/>
        <v>0</v>
      </c>
    </row>
    <row r="15" spans="1:14" ht="15.75" thickBot="1" x14ac:dyDescent="0.3">
      <c r="A15" s="32">
        <v>12</v>
      </c>
      <c r="B15" s="33" t="s">
        <v>23</v>
      </c>
      <c r="C15" s="143">
        <f>[1]STA_SP1_NO!$G$128</f>
        <v>0</v>
      </c>
      <c r="D15" s="118">
        <f>[2]STA_SP1_NO!$G$128</f>
        <v>0</v>
      </c>
      <c r="E15" s="143">
        <f>[3]STA_SP1_NO!$G$128</f>
        <v>0</v>
      </c>
      <c r="F15" s="118">
        <f>[4]STA_SP1_NO!$G$128</f>
        <v>0</v>
      </c>
      <c r="G15" s="61">
        <f>[5]STA_SP1_NO!$G$128</f>
        <v>0</v>
      </c>
      <c r="H15" s="144">
        <f>[6]STA_SP1_NO!$G$128</f>
        <v>0</v>
      </c>
      <c r="I15" s="61">
        <f>[7]STA_SP1_NO!$G$128</f>
        <v>0</v>
      </c>
      <c r="J15" s="68">
        <f>[8]STA_SP1_NO!$G$128</f>
        <v>0</v>
      </c>
      <c r="K15" s="117">
        <f>[9]STA_SP1_NO!$G$128</f>
        <v>0</v>
      </c>
      <c r="L15" s="68">
        <f>[10]STA_SP1_NO!$G$128</f>
        <v>0</v>
      </c>
      <c r="M15" s="332">
        <f>[11]STA_SP1_NO!$G$128</f>
        <v>0</v>
      </c>
      <c r="N15" s="249">
        <f t="shared" si="0"/>
        <v>0</v>
      </c>
    </row>
    <row r="16" spans="1:14" ht="15.75" thickBot="1" x14ac:dyDescent="0.3">
      <c r="A16" s="32">
        <v>13</v>
      </c>
      <c r="B16" s="33" t="s">
        <v>24</v>
      </c>
      <c r="C16" s="143">
        <f>[1]STA_SP1_NO!$G$132</f>
        <v>3780.26</v>
      </c>
      <c r="D16" s="118">
        <f>[2]STA_SP1_NO!$G$132</f>
        <v>382.64</v>
      </c>
      <c r="E16" s="143">
        <f>[3]STA_SP1_NO!$G$132</f>
        <v>123</v>
      </c>
      <c r="F16" s="118">
        <f>[4]STA_SP1_NO!$G$132</f>
        <v>1706.55</v>
      </c>
      <c r="G16" s="61">
        <f>[5]STA_SP1_NO!$G$132</f>
        <v>654</v>
      </c>
      <c r="H16" s="144">
        <f>[6]STA_SP1_NO!$G$132</f>
        <v>24.38</v>
      </c>
      <c r="I16" s="61">
        <f>[7]STA_SP1_NO!$G$132</f>
        <v>719</v>
      </c>
      <c r="J16" s="68">
        <f>[8]STA_SP1_NO!$G$132</f>
        <v>678</v>
      </c>
      <c r="K16" s="117">
        <f>[9]STA_SP1_NO!$G$132</f>
        <v>175.57</v>
      </c>
      <c r="L16" s="68">
        <f>[10]STA_SP1_NO!$G$132</f>
        <v>860</v>
      </c>
      <c r="M16" s="332">
        <f>[11]STA_SP1_NO!$G$132</f>
        <v>0</v>
      </c>
      <c r="N16" s="249">
        <f t="shared" si="0"/>
        <v>9103.4000000000015</v>
      </c>
    </row>
    <row r="17" spans="1:14" ht="15.75" thickBot="1" x14ac:dyDescent="0.3">
      <c r="A17" s="32">
        <v>14</v>
      </c>
      <c r="B17" s="33" t="s">
        <v>25</v>
      </c>
      <c r="C17" s="143">
        <f>[1]STA_SP1_NO!$G$153</f>
        <v>287.85000000000002</v>
      </c>
      <c r="D17" s="118">
        <f>[2]STA_SP1_NO!$G$153</f>
        <v>716.58</v>
      </c>
      <c r="E17" s="143">
        <f>[3]STA_SP1_NO!$G$153</f>
        <v>0</v>
      </c>
      <c r="F17" s="118">
        <f>[4]STA_SP1_NO!$G$153</f>
        <v>0</v>
      </c>
      <c r="G17" s="61">
        <f>[5]STA_SP1_NO!$G$153</f>
        <v>0</v>
      </c>
      <c r="H17" s="144">
        <f>[6]STA_SP1_NO!$G$153</f>
        <v>0</v>
      </c>
      <c r="I17" s="61">
        <f>[7]STA_SP1_NO!$G$153</f>
        <v>0</v>
      </c>
      <c r="J17" s="68">
        <f>[8]STA_SP1_NO!$G$153</f>
        <v>0</v>
      </c>
      <c r="K17" s="117">
        <f>[9]STA_SP1_NO!$G$153</f>
        <v>1</v>
      </c>
      <c r="L17" s="68">
        <f>[10]STA_SP1_NO!$G$153</f>
        <v>9</v>
      </c>
      <c r="M17" s="332">
        <f>[11]STA_SP1_NO!$G$153</f>
        <v>0</v>
      </c>
      <c r="N17" s="249">
        <f t="shared" si="0"/>
        <v>1014.4300000000001</v>
      </c>
    </row>
    <row r="18" spans="1:14" ht="15.75" thickBot="1" x14ac:dyDescent="0.3">
      <c r="A18" s="32">
        <v>15</v>
      </c>
      <c r="B18" s="33" t="s">
        <v>26</v>
      </c>
      <c r="C18" s="143">
        <f>[1]STA_SP1_NO!$G$158</f>
        <v>0</v>
      </c>
      <c r="D18" s="118">
        <f>[2]STA_SP1_NO!$G$158</f>
        <v>0</v>
      </c>
      <c r="E18" s="143">
        <f>[3]STA_SP1_NO!$G$158</f>
        <v>0</v>
      </c>
      <c r="F18" s="118">
        <f>[4]STA_SP1_NO!$G$158</f>
        <v>0</v>
      </c>
      <c r="G18" s="61">
        <f>[5]STA_SP1_NO!$G$158</f>
        <v>0</v>
      </c>
      <c r="H18" s="144">
        <f>[6]STA_SP1_NO!$G$158</f>
        <v>0</v>
      </c>
      <c r="I18" s="61">
        <f>[7]STA_SP1_NO!$G$158</f>
        <v>0</v>
      </c>
      <c r="J18" s="68">
        <f>[8]STA_SP1_NO!$G$158</f>
        <v>0</v>
      </c>
      <c r="K18" s="117">
        <f>[9]STA_SP1_NO!$G$158</f>
        <v>0</v>
      </c>
      <c r="L18" s="68">
        <f>[10]STA_SP1_NO!$G$158</f>
        <v>0</v>
      </c>
      <c r="M18" s="332">
        <f>[11]STA_SP1_NO!$G$158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43">
        <f>[1]STA_SP1_NO!$G$161</f>
        <v>18.920000000000002</v>
      </c>
      <c r="D19" s="118">
        <f>[2]STA_SP1_NO!$G$161</f>
        <v>0</v>
      </c>
      <c r="E19" s="143">
        <f>[3]STA_SP1_NO!$G$161</f>
        <v>0</v>
      </c>
      <c r="F19" s="118">
        <f>[4]STA_SP1_NO!$G$161</f>
        <v>462.99</v>
      </c>
      <c r="G19" s="61">
        <f>[5]STA_SP1_NO!$G$161</f>
        <v>0</v>
      </c>
      <c r="H19" s="144">
        <f>[6]STA_SP1_NO!$G$161</f>
        <v>0</v>
      </c>
      <c r="I19" s="61">
        <f>[7]STA_SP1_NO!$G$161</f>
        <v>11</v>
      </c>
      <c r="J19" s="68">
        <f>[8]STA_SP1_NO!$G$161</f>
        <v>0</v>
      </c>
      <c r="K19" s="117">
        <f>[9]STA_SP1_NO!$G$161</f>
        <v>0</v>
      </c>
      <c r="L19" s="68">
        <f>[10]STA_SP1_NO!$G$161</f>
        <v>0</v>
      </c>
      <c r="M19" s="332">
        <f>[11]STA_SP1_NO!$G$161</f>
        <v>0</v>
      </c>
      <c r="N19" s="249">
        <f t="shared" si="0"/>
        <v>492.91</v>
      </c>
    </row>
    <row r="20" spans="1:14" ht="15.75" thickBot="1" x14ac:dyDescent="0.3">
      <c r="A20" s="32">
        <v>17</v>
      </c>
      <c r="B20" s="33" t="s">
        <v>28</v>
      </c>
      <c r="C20" s="143">
        <f>[1]STA_SP1_NO!$G$167</f>
        <v>0</v>
      </c>
      <c r="D20" s="118">
        <f>[2]STA_SP1_NO!$G$167</f>
        <v>0</v>
      </c>
      <c r="E20" s="143">
        <f>[3]STA_SP1_NO!$G$167</f>
        <v>0</v>
      </c>
      <c r="F20" s="118">
        <f>[4]STA_SP1_NO!$G$167</f>
        <v>0</v>
      </c>
      <c r="G20" s="61">
        <f>[5]STA_SP1_NO!$G$167</f>
        <v>0</v>
      </c>
      <c r="H20" s="144">
        <f>[6]STA_SP1_NO!$G$167</f>
        <v>0</v>
      </c>
      <c r="I20" s="61">
        <f>[7]STA_SP1_NO!$G$167</f>
        <v>0</v>
      </c>
      <c r="J20" s="68">
        <f>[8]STA_SP1_NO!$G$167</f>
        <v>0</v>
      </c>
      <c r="K20" s="117">
        <f>[9]STA_SP1_NO!$G$167</f>
        <v>0</v>
      </c>
      <c r="L20" s="68">
        <f>[10]STA_SP1_NO!$G$167</f>
        <v>0</v>
      </c>
      <c r="M20" s="332">
        <f>[11]STA_SP1_NO!$G$167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[1]STA_SP1_NO!$G$170</f>
        <v>3237.08</v>
      </c>
      <c r="D21" s="118">
        <f>[2]STA_SP1_NO!$G$170</f>
        <v>9313.91</v>
      </c>
      <c r="E21" s="143">
        <f>[3]STA_SP1_NO!$G$170</f>
        <v>1151</v>
      </c>
      <c r="F21" s="118">
        <f>[4]STA_SP1_NO!$G$170</f>
        <v>9817.09</v>
      </c>
      <c r="G21" s="61">
        <f>[5]STA_SP1_NO!$G$170</f>
        <v>6058</v>
      </c>
      <c r="H21" s="144">
        <f>[6]STA_SP1_NO!$G$170</f>
        <v>653.27</v>
      </c>
      <c r="I21" s="61">
        <f>[7]STA_SP1_NO!$G$170</f>
        <v>2057</v>
      </c>
      <c r="J21" s="68">
        <f>[8]STA_SP1_NO!$G$170</f>
        <v>1851</v>
      </c>
      <c r="K21" s="117">
        <f>[9]STA_SP1_NO!$G$170</f>
        <v>618.66999999999996</v>
      </c>
      <c r="L21" s="68">
        <f>[10]STA_SP1_NO!$G$170</f>
        <v>2858</v>
      </c>
      <c r="M21" s="332">
        <f>[11]STA_SP1_NO!$G$170</f>
        <v>0</v>
      </c>
      <c r="N21" s="249">
        <f t="shared" si="0"/>
        <v>37615.020000000004</v>
      </c>
    </row>
    <row r="22" spans="1:14" ht="15.75" thickBot="1" x14ac:dyDescent="0.3">
      <c r="A22" s="36"/>
      <c r="B22" s="37" t="s">
        <v>37</v>
      </c>
      <c r="C22" s="110">
        <f t="shared" ref="C22:N22" si="1">SUM(C4:C21)</f>
        <v>538112.20000000007</v>
      </c>
      <c r="D22" s="39">
        <f t="shared" si="1"/>
        <v>341552.17</v>
      </c>
      <c r="E22" s="40">
        <f t="shared" si="1"/>
        <v>108724</v>
      </c>
      <c r="F22" s="39">
        <f t="shared" si="1"/>
        <v>406825.35</v>
      </c>
      <c r="G22" s="41">
        <f t="shared" si="1"/>
        <v>261765</v>
      </c>
      <c r="H22" s="42">
        <f t="shared" si="1"/>
        <v>132141.41999999998</v>
      </c>
      <c r="I22" s="41">
        <f t="shared" si="1"/>
        <v>308377</v>
      </c>
      <c r="J22" s="338">
        <f t="shared" si="1"/>
        <v>149271</v>
      </c>
      <c r="K22" s="350">
        <f t="shared" si="1"/>
        <v>203377.2</v>
      </c>
      <c r="L22" s="42">
        <f t="shared" si="1"/>
        <v>273228</v>
      </c>
      <c r="M22" s="333">
        <f t="shared" si="1"/>
        <v>6870.9900000000007</v>
      </c>
      <c r="N22" s="250">
        <f t="shared" si="1"/>
        <v>2730244.33</v>
      </c>
    </row>
    <row r="23" spans="1:14" ht="15.75" thickBot="1" x14ac:dyDescent="0.3">
      <c r="A23" s="43"/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341"/>
      <c r="N23" s="46"/>
    </row>
    <row r="24" spans="1:14" ht="15.75" thickBot="1" x14ac:dyDescent="0.3">
      <c r="A24" s="448" t="s">
        <v>31</v>
      </c>
      <c r="B24" s="449"/>
      <c r="C24" s="48">
        <f>C22/N22</f>
        <v>0.19709305650311526</v>
      </c>
      <c r="D24" s="47">
        <f>D22/N22</f>
        <v>0.12509948880655672</v>
      </c>
      <c r="E24" s="48">
        <f>E22/N22</f>
        <v>3.9822077022681701E-2</v>
      </c>
      <c r="F24" s="47">
        <f>F22/N22</f>
        <v>0.14900693887715169</v>
      </c>
      <c r="G24" s="48">
        <f>G22/N22</f>
        <v>9.5876034655110881E-2</v>
      </c>
      <c r="H24" s="336">
        <f>H22/N22</f>
        <v>4.8399118916950548E-2</v>
      </c>
      <c r="I24" s="48">
        <f>I22/N22</f>
        <v>0.1129484993747794</v>
      </c>
      <c r="J24" s="47">
        <f>J22/N22</f>
        <v>5.4673128833125348E-2</v>
      </c>
      <c r="K24" s="161">
        <f>K22/N22</f>
        <v>7.4490476095961711E-2</v>
      </c>
      <c r="L24" s="47">
        <f>L22/N22</f>
        <v>0.10007455999368378</v>
      </c>
      <c r="M24" s="342">
        <f>M22/N22</f>
        <v>2.5166209208829309E-3</v>
      </c>
      <c r="N24" s="251">
        <f>SUM(C24:M24)</f>
        <v>0.99999999999999989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54" t="s">
        <v>0</v>
      </c>
      <c r="B26" s="456" t="s">
        <v>1</v>
      </c>
      <c r="C26" s="445" t="s">
        <v>90</v>
      </c>
      <c r="D26" s="446"/>
      <c r="E26" s="446"/>
      <c r="F26" s="446"/>
      <c r="G26" s="446"/>
      <c r="H26" s="447"/>
      <c r="I26" s="432" t="s">
        <v>3</v>
      </c>
      <c r="J26" s="162"/>
      <c r="K26" s="1"/>
      <c r="L26" s="1"/>
      <c r="M26" s="1"/>
      <c r="N26" s="1"/>
    </row>
    <row r="27" spans="1:14" ht="15.75" thickBot="1" x14ac:dyDescent="0.3">
      <c r="A27" s="455"/>
      <c r="B27" s="457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33"/>
      <c r="J27" s="81"/>
      <c r="K27" s="458" t="s">
        <v>33</v>
      </c>
      <c r="L27" s="459"/>
      <c r="M27" s="232">
        <f>N22</f>
        <v>2730244.33</v>
      </c>
      <c r="N27" s="233">
        <f>M27/M29</f>
        <v>0.822594617618994</v>
      </c>
    </row>
    <row r="28" spans="1:14" ht="15.75" thickBot="1" x14ac:dyDescent="0.3">
      <c r="A28" s="184">
        <v>19</v>
      </c>
      <c r="B28" s="185" t="s">
        <v>34</v>
      </c>
      <c r="C28" s="183">
        <f>[12]STA_SP2_ZO!$N$51+[12]STA_SP2_ZO!$O$51</f>
        <v>243674</v>
      </c>
      <c r="D28" s="343">
        <f>[13]STA_SP2_ZO!$N$51+[13]STA_SP2_ZO!$O$51</f>
        <v>133503</v>
      </c>
      <c r="E28" s="183">
        <f>[14]STA_SP2_ZO!$O$51</f>
        <v>75192</v>
      </c>
      <c r="F28" s="186">
        <f>[15]STA_SP2_ZO!$N$51+[15]STA_SP2_ZO!$O$51</f>
        <v>39823</v>
      </c>
      <c r="G28" s="187">
        <f>[16]STA_SP2_ZO!$N$51+[16]STA_SP2_ZO!$O$51</f>
        <v>95834.46</v>
      </c>
      <c r="H28" s="188">
        <f>[17]STA_SP2_ZO!$N$51+[17]STA_SP2_ZO!$O$51</f>
        <v>793.39</v>
      </c>
      <c r="I28" s="230">
        <f>SUM(C28:H28)</f>
        <v>588819.85</v>
      </c>
      <c r="J28" s="81"/>
      <c r="K28" s="450" t="s">
        <v>34</v>
      </c>
      <c r="L28" s="451"/>
      <c r="M28" s="234">
        <f>I28</f>
        <v>588819.85</v>
      </c>
      <c r="N28" s="235">
        <f>M28/M29</f>
        <v>0.17740538238100595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2" t="s">
        <v>3</v>
      </c>
      <c r="L29" s="453"/>
      <c r="M29" s="236">
        <f>M27+M28</f>
        <v>3319064.18</v>
      </c>
      <c r="N29" s="237">
        <f>M29/M29</f>
        <v>1</v>
      </c>
    </row>
    <row r="30" spans="1:14" ht="15.75" thickBot="1" x14ac:dyDescent="0.3">
      <c r="A30" s="419" t="s">
        <v>35</v>
      </c>
      <c r="B30" s="420"/>
      <c r="C30" s="23">
        <f>C28/I28</f>
        <v>0.41383455398115404</v>
      </c>
      <c r="D30" s="82">
        <f>D28/I28</f>
        <v>0.22672978840642008</v>
      </c>
      <c r="E30" s="23">
        <f>E28/I28</f>
        <v>0.12769949926110677</v>
      </c>
      <c r="F30" s="82">
        <f>F28/I28</f>
        <v>6.7631891146332793E-2</v>
      </c>
      <c r="G30" s="23">
        <f>G28/I28</f>
        <v>0.16275684320085337</v>
      </c>
      <c r="H30" s="82">
        <f>H28/I28</f>
        <v>1.3474240041330128E-3</v>
      </c>
      <c r="I30" s="231">
        <f>I28/I28</f>
        <v>1</v>
      </c>
      <c r="J30" s="1"/>
      <c r="K30" s="1"/>
      <c r="L30" s="1"/>
      <c r="M30" s="1"/>
      <c r="N30" s="1"/>
    </row>
    <row r="35" spans="4:4" x14ac:dyDescent="0.25">
      <c r="D35" s="163"/>
    </row>
  </sheetData>
  <mergeCells count="14">
    <mergeCell ref="C1:K1"/>
    <mergeCell ref="A2:A3"/>
    <mergeCell ref="B2:B3"/>
    <mergeCell ref="N2:N3"/>
    <mergeCell ref="C2:M2"/>
    <mergeCell ref="A24:B24"/>
    <mergeCell ref="K28:L28"/>
    <mergeCell ref="K29:L29"/>
    <mergeCell ref="A30:B30"/>
    <mergeCell ref="A26:A27"/>
    <mergeCell ref="B26:B27"/>
    <mergeCell ref="K27:L27"/>
    <mergeCell ref="I26:I27"/>
    <mergeCell ref="C26:H26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Q19" sqref="Q19"/>
    </sheetView>
  </sheetViews>
  <sheetFormatPr defaultRowHeight="15" x14ac:dyDescent="0.25"/>
  <cols>
    <col min="1" max="1" width="4.42578125" customWidth="1"/>
    <col min="2" max="2" width="28.42578125" customWidth="1"/>
    <col min="8" max="8" width="9.85546875" bestFit="1" customWidth="1"/>
  </cols>
  <sheetData>
    <row r="1" spans="1:14" ht="33" customHeight="1" thickBot="1" x14ac:dyDescent="0.3">
      <c r="A1" s="120"/>
      <c r="B1" s="120"/>
      <c r="C1" s="460" t="s">
        <v>100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26"/>
    </row>
    <row r="2" spans="1:14" ht="15.75" thickBot="1" x14ac:dyDescent="0.3">
      <c r="A2" s="463" t="s">
        <v>0</v>
      </c>
      <c r="B2" s="465" t="s">
        <v>1</v>
      </c>
      <c r="C2" s="477" t="s">
        <v>2</v>
      </c>
      <c r="D2" s="478"/>
      <c r="E2" s="478"/>
      <c r="F2" s="478"/>
      <c r="G2" s="478"/>
      <c r="H2" s="478"/>
      <c r="I2" s="478"/>
      <c r="J2" s="478"/>
      <c r="K2" s="478"/>
      <c r="L2" s="478"/>
      <c r="M2" s="479"/>
      <c r="N2" s="467" t="s">
        <v>3</v>
      </c>
    </row>
    <row r="3" spans="1:14" ht="15.75" thickBot="1" x14ac:dyDescent="0.3">
      <c r="A3" s="464"/>
      <c r="B3" s="466"/>
      <c r="C3" s="226" t="s">
        <v>69</v>
      </c>
      <c r="D3" s="246" t="s">
        <v>4</v>
      </c>
      <c r="E3" s="247" t="s">
        <v>5</v>
      </c>
      <c r="F3" s="246" t="s">
        <v>6</v>
      </c>
      <c r="G3" s="248" t="s">
        <v>8</v>
      </c>
      <c r="H3" s="252" t="s">
        <v>94</v>
      </c>
      <c r="I3" s="248" t="s">
        <v>9</v>
      </c>
      <c r="J3" s="345" t="s">
        <v>10</v>
      </c>
      <c r="K3" s="228" t="s">
        <v>93</v>
      </c>
      <c r="L3" s="254" t="s">
        <v>11</v>
      </c>
      <c r="M3" s="346" t="s">
        <v>96</v>
      </c>
      <c r="N3" s="468"/>
    </row>
    <row r="4" spans="1:14" x14ac:dyDescent="0.25">
      <c r="A4" s="30">
        <v>1</v>
      </c>
      <c r="B4" s="31" t="s">
        <v>12</v>
      </c>
      <c r="C4" s="143">
        <f>[1]STA_SP1_NO!$F$10</f>
        <v>621</v>
      </c>
      <c r="D4" s="118">
        <f>[2]STA_SP1_NO!$F$10</f>
        <v>448</v>
      </c>
      <c r="E4" s="143">
        <f>[3]STA_SP1_NO!$F$10</f>
        <v>105</v>
      </c>
      <c r="F4" s="118">
        <f>[4]STA_SP1_NO!$F$10</f>
        <v>501</v>
      </c>
      <c r="G4" s="61">
        <f>[5]STA_SP1_NO!$F$10</f>
        <v>668</v>
      </c>
      <c r="H4" s="144">
        <f>[6]STA_SP1_NO!$F$10</f>
        <v>308</v>
      </c>
      <c r="I4" s="61">
        <f>[7]STA_SP1_NO!$F$10</f>
        <v>357</v>
      </c>
      <c r="J4" s="68">
        <f>[8]STA_SP1_NO!$F$10</f>
        <v>230</v>
      </c>
      <c r="K4" s="61">
        <f>[9]STA_SP1_NO!$F$10</f>
        <v>233</v>
      </c>
      <c r="L4" s="68">
        <f>[10]STA_SP1_NO!$F$10</f>
        <v>639</v>
      </c>
      <c r="M4" s="332">
        <f>[11]STA_SP1_NO!$F$10</f>
        <v>0</v>
      </c>
      <c r="N4" s="249">
        <f t="shared" ref="N4:N21" si="0">SUM(C4:M4)</f>
        <v>4110</v>
      </c>
    </row>
    <row r="5" spans="1:14" x14ac:dyDescent="0.25">
      <c r="A5" s="32">
        <v>2</v>
      </c>
      <c r="B5" s="33" t="s">
        <v>13</v>
      </c>
      <c r="C5" s="143">
        <f>[1]STA_SP1_NO!$F$20</f>
        <v>10951</v>
      </c>
      <c r="D5" s="118">
        <f>[2]STA_SP1_NO!$F$20</f>
        <v>8034</v>
      </c>
      <c r="E5" s="143">
        <f>[3]STA_SP1_NO!$F$20</f>
        <v>789</v>
      </c>
      <c r="F5" s="118">
        <f>[4]STA_SP1_NO!$F$20</f>
        <v>3344</v>
      </c>
      <c r="G5" s="61">
        <f>[5]STA_SP1_NO!$F$20</f>
        <v>6829</v>
      </c>
      <c r="H5" s="144">
        <f>[6]STA_SP1_NO!$F$20</f>
        <v>0</v>
      </c>
      <c r="I5" s="61">
        <f>[7]STA_SP1_NO!$F$20</f>
        <v>3235</v>
      </c>
      <c r="J5" s="68">
        <f>[8]STA_SP1_NO!$F$20</f>
        <v>0</v>
      </c>
      <c r="K5" s="61">
        <f>[9]STA_SP1_NO!$F$20</f>
        <v>3309</v>
      </c>
      <c r="L5" s="68">
        <f>[10]STA_SP1_NO!$F$20</f>
        <v>8414</v>
      </c>
      <c r="M5" s="332">
        <f>[11]STA_SP1_NO!$F$20</f>
        <v>0</v>
      </c>
      <c r="N5" s="249">
        <f t="shared" si="0"/>
        <v>44905</v>
      </c>
    </row>
    <row r="6" spans="1:14" x14ac:dyDescent="0.25">
      <c r="A6" s="32">
        <v>3</v>
      </c>
      <c r="B6" s="33" t="s">
        <v>14</v>
      </c>
      <c r="C6" s="143">
        <f>[1]STA_SP1_NO!$F$24</f>
        <v>539</v>
      </c>
      <c r="D6" s="118">
        <f>[2]STA_SP1_NO!$F$24</f>
        <v>516</v>
      </c>
      <c r="E6" s="143">
        <f>[3]STA_SP1_NO!$F$24</f>
        <v>283</v>
      </c>
      <c r="F6" s="118">
        <f>[4]STA_SP1_NO!$F$24</f>
        <v>695</v>
      </c>
      <c r="G6" s="61">
        <f>[5]STA_SP1_NO!$F$24</f>
        <v>328</v>
      </c>
      <c r="H6" s="144">
        <f>[6]STA_SP1_NO!$F$24</f>
        <v>70</v>
      </c>
      <c r="I6" s="61">
        <f>[7]STA_SP1_NO!$F$24</f>
        <v>326</v>
      </c>
      <c r="J6" s="68">
        <f>[8]STA_SP1_NO!$F$24</f>
        <v>334</v>
      </c>
      <c r="K6" s="61">
        <f>[9]STA_SP1_NO!$F$24</f>
        <v>414</v>
      </c>
      <c r="L6" s="68">
        <f>[10]STA_SP1_NO!$F$24</f>
        <v>351</v>
      </c>
      <c r="M6" s="332">
        <f>[11]STA_SP1_NO!$F$24</f>
        <v>11</v>
      </c>
      <c r="N6" s="249">
        <f t="shared" si="0"/>
        <v>3867</v>
      </c>
    </row>
    <row r="7" spans="1:14" x14ac:dyDescent="0.25">
      <c r="A7" s="32">
        <v>4</v>
      </c>
      <c r="B7" s="33" t="s">
        <v>15</v>
      </c>
      <c r="C7" s="143">
        <f>[1]STA_SP1_NO!$F$27</f>
        <v>0</v>
      </c>
      <c r="D7" s="118">
        <f>[2]STA_SP1_NO!$F$27</f>
        <v>0</v>
      </c>
      <c r="E7" s="143">
        <f>[3]STA_SP1_NO!$F$27</f>
        <v>0</v>
      </c>
      <c r="F7" s="118">
        <f>[4]STA_SP1_NO!$F$27</f>
        <v>0</v>
      </c>
      <c r="G7" s="61">
        <f>[5]STA_SP1_NO!$F$27</f>
        <v>0</v>
      </c>
      <c r="H7" s="144">
        <f>[6]STA_SP1_NO!$F$27</f>
        <v>0</v>
      </c>
      <c r="I7" s="61">
        <f>[7]STA_SP1_NO!$F$27</f>
        <v>0</v>
      </c>
      <c r="J7" s="68">
        <f>[8]STA_SP1_NO!$F$27</f>
        <v>0</v>
      </c>
      <c r="K7" s="61">
        <f>[9]STA_SP1_NO!$F$27</f>
        <v>0</v>
      </c>
      <c r="L7" s="68">
        <f>[10]STA_SP1_NO!$F$27</f>
        <v>0</v>
      </c>
      <c r="M7" s="332">
        <f>[11]STA_SP1_NO!$F$27</f>
        <v>0</v>
      </c>
      <c r="N7" s="249">
        <f t="shared" si="0"/>
        <v>0</v>
      </c>
    </row>
    <row r="8" spans="1:14" x14ac:dyDescent="0.25">
      <c r="A8" s="32">
        <v>5</v>
      </c>
      <c r="B8" s="33" t="s">
        <v>16</v>
      </c>
      <c r="C8" s="143">
        <f>[1]STA_SP1_NO!$F$30</f>
        <v>0</v>
      </c>
      <c r="D8" s="118">
        <f>[2]STA_SP1_NO!$F$30</f>
        <v>0</v>
      </c>
      <c r="E8" s="143">
        <f>[3]STA_SP1_NO!$F$30</f>
        <v>0</v>
      </c>
      <c r="F8" s="118">
        <f>[4]STA_SP1_NO!$F$30</f>
        <v>0</v>
      </c>
      <c r="G8" s="61">
        <f>[5]STA_SP1_NO!$F$30</f>
        <v>0</v>
      </c>
      <c r="H8" s="144">
        <f>[6]STA_SP1_NO!$F$30</f>
        <v>0</v>
      </c>
      <c r="I8" s="61">
        <f>[7]STA_SP1_NO!$F$30</f>
        <v>0</v>
      </c>
      <c r="J8" s="68">
        <f>[8]STA_SP1_NO!$F$30</f>
        <v>0</v>
      </c>
      <c r="K8" s="61">
        <f>[9]STA_SP1_NO!$F$30</f>
        <v>0</v>
      </c>
      <c r="L8" s="68">
        <f>[10]STA_SP1_NO!$F$30</f>
        <v>0</v>
      </c>
      <c r="M8" s="332">
        <f>[11]STA_SP1_NO!$F$30</f>
        <v>0</v>
      </c>
      <c r="N8" s="249">
        <f t="shared" si="0"/>
        <v>0</v>
      </c>
    </row>
    <row r="9" spans="1:14" x14ac:dyDescent="0.25">
      <c r="A9" s="32">
        <v>6</v>
      </c>
      <c r="B9" s="33" t="s">
        <v>17</v>
      </c>
      <c r="C9" s="143">
        <f>[1]STA_SP1_NO!$F$33</f>
        <v>0</v>
      </c>
      <c r="D9" s="118">
        <f>[2]STA_SP1_NO!$F$33</f>
        <v>0</v>
      </c>
      <c r="E9" s="143">
        <f>[3]STA_SP1_NO!$F$33</f>
        <v>0</v>
      </c>
      <c r="F9" s="118">
        <f>[4]STA_SP1_NO!$F$33</f>
        <v>0</v>
      </c>
      <c r="G9" s="61">
        <f>[5]STA_SP1_NO!$F$33</f>
        <v>0</v>
      </c>
      <c r="H9" s="144">
        <f>[6]STA_SP1_NO!$F$33</f>
        <v>0</v>
      </c>
      <c r="I9" s="61">
        <f>[7]STA_SP1_NO!$F$33</f>
        <v>0</v>
      </c>
      <c r="J9" s="68">
        <f>[8]STA_SP1_NO!$F$33</f>
        <v>0</v>
      </c>
      <c r="K9" s="61">
        <f>[9]STA_SP1_NO!$F$33</f>
        <v>1</v>
      </c>
      <c r="L9" s="68">
        <f>[10]STA_SP1_NO!$F$33</f>
        <v>0</v>
      </c>
      <c r="M9" s="332">
        <f>[11]STA_SP1_NO!$F$33</f>
        <v>0</v>
      </c>
      <c r="N9" s="249">
        <f t="shared" si="0"/>
        <v>1</v>
      </c>
    </row>
    <row r="10" spans="1:14" x14ac:dyDescent="0.25">
      <c r="A10" s="32">
        <v>7</v>
      </c>
      <c r="B10" s="33" t="s">
        <v>18</v>
      </c>
      <c r="C10" s="143">
        <f>[1]STA_SP1_NO!$F$36</f>
        <v>4</v>
      </c>
      <c r="D10" s="118">
        <f>[2]STA_SP1_NO!$F$36</f>
        <v>1</v>
      </c>
      <c r="E10" s="143">
        <f>[3]STA_SP1_NO!$F$36</f>
        <v>1</v>
      </c>
      <c r="F10" s="118">
        <f>[4]STA_SP1_NO!$F$36</f>
        <v>0</v>
      </c>
      <c r="G10" s="61">
        <f>[5]STA_SP1_NO!$F$36</f>
        <v>0</v>
      </c>
      <c r="H10" s="144">
        <f>[6]STA_SP1_NO!$F$36</f>
        <v>0</v>
      </c>
      <c r="I10" s="61">
        <f>[7]STA_SP1_NO!$F$36</f>
        <v>9</v>
      </c>
      <c r="J10" s="68">
        <f>[8]STA_SP1_NO!$F$36</f>
        <v>0</v>
      </c>
      <c r="K10" s="61">
        <f>[9]STA_SP1_NO!$F$36</f>
        <v>0</v>
      </c>
      <c r="L10" s="68">
        <f>[10]STA_SP1_NO!$F$36</f>
        <v>1</v>
      </c>
      <c r="M10" s="332">
        <f>[11]STA_SP1_NO!$F$36</f>
        <v>0</v>
      </c>
      <c r="N10" s="249">
        <f t="shared" si="0"/>
        <v>16</v>
      </c>
    </row>
    <row r="11" spans="1:14" x14ac:dyDescent="0.25">
      <c r="A11" s="32">
        <v>8</v>
      </c>
      <c r="B11" s="33" t="s">
        <v>19</v>
      </c>
      <c r="C11" s="143">
        <f>[1]STA_SP1_NO!$F$40</f>
        <v>41</v>
      </c>
      <c r="D11" s="118">
        <f>[2]STA_SP1_NO!$F$40</f>
        <v>18</v>
      </c>
      <c r="E11" s="143">
        <f>[3]STA_SP1_NO!$F$40</f>
        <v>6</v>
      </c>
      <c r="F11" s="118">
        <f>[4]STA_SP1_NO!$F$40</f>
        <v>72</v>
      </c>
      <c r="G11" s="61">
        <f>[5]STA_SP1_NO!$F$40</f>
        <v>219</v>
      </c>
      <c r="H11" s="144">
        <f>[6]STA_SP1_NO!$F$40</f>
        <v>2</v>
      </c>
      <c r="I11" s="61">
        <f>[7]STA_SP1_NO!$F$40</f>
        <v>12</v>
      </c>
      <c r="J11" s="68">
        <f>[8]STA_SP1_NO!$F$40</f>
        <v>34</v>
      </c>
      <c r="K11" s="61">
        <f>[9]STA_SP1_NO!$F$40</f>
        <v>12</v>
      </c>
      <c r="L11" s="68">
        <f>[10]STA_SP1_NO!$F$40</f>
        <v>18</v>
      </c>
      <c r="M11" s="332">
        <f>[11]STA_SP1_NO!$F$40</f>
        <v>0</v>
      </c>
      <c r="N11" s="249">
        <f t="shared" si="0"/>
        <v>434</v>
      </c>
    </row>
    <row r="12" spans="1:14" x14ac:dyDescent="0.25">
      <c r="A12" s="32">
        <v>9</v>
      </c>
      <c r="B12" s="33" t="s">
        <v>20</v>
      </c>
      <c r="C12" s="143">
        <f>[1]STA_SP1_NO!$F$56</f>
        <v>608</v>
      </c>
      <c r="D12" s="118">
        <f>[2]STA_SP1_NO!$F$56</f>
        <v>416</v>
      </c>
      <c r="E12" s="143">
        <f>[3]STA_SP1_NO!$F$56</f>
        <v>112</v>
      </c>
      <c r="F12" s="118">
        <f>[4]STA_SP1_NO!$F$56</f>
        <v>494</v>
      </c>
      <c r="G12" s="61">
        <f>[5]STA_SP1_NO!$F$56</f>
        <v>56</v>
      </c>
      <c r="H12" s="144">
        <f>[6]STA_SP1_NO!$F$56</f>
        <v>3</v>
      </c>
      <c r="I12" s="61">
        <f>[7]STA_SP1_NO!$F$56</f>
        <v>179</v>
      </c>
      <c r="J12" s="68">
        <f>[8]STA_SP1_NO!$F$56</f>
        <v>65</v>
      </c>
      <c r="K12" s="61">
        <f>[9]STA_SP1_NO!$F$56</f>
        <v>71</v>
      </c>
      <c r="L12" s="68">
        <f>[10]STA_SP1_NO!$F$56</f>
        <v>149</v>
      </c>
      <c r="M12" s="332">
        <f>[11]STA_SP1_NO!$F$56</f>
        <v>3</v>
      </c>
      <c r="N12" s="249">
        <f t="shared" si="0"/>
        <v>2156</v>
      </c>
    </row>
    <row r="13" spans="1:14" x14ac:dyDescent="0.25">
      <c r="A13" s="32">
        <v>10</v>
      </c>
      <c r="B13" s="33" t="s">
        <v>21</v>
      </c>
      <c r="C13" s="143">
        <f>[1]STA_SP1_NO!$F$88</f>
        <v>2671</v>
      </c>
      <c r="D13" s="118">
        <f>[2]STA_SP1_NO!$F$88</f>
        <v>1297</v>
      </c>
      <c r="E13" s="143">
        <f>[3]STA_SP1_NO!$F$88</f>
        <v>986</v>
      </c>
      <c r="F13" s="118">
        <f>[4]STA_SP1_NO!$F$88</f>
        <v>1318</v>
      </c>
      <c r="G13" s="61">
        <f>[5]STA_SP1_NO!$F$88</f>
        <v>1175</v>
      </c>
      <c r="H13" s="144">
        <f>[6]STA_SP1_NO!$F$88</f>
        <v>2094</v>
      </c>
      <c r="I13" s="61">
        <f>[7]STA_SP1_NO!$F$88</f>
        <v>2662</v>
      </c>
      <c r="J13" s="68">
        <f>[8]STA_SP1_NO!$F$88</f>
        <v>1340</v>
      </c>
      <c r="K13" s="61">
        <f>[9]STA_SP1_NO!$F$88</f>
        <v>1036</v>
      </c>
      <c r="L13" s="68">
        <f>[10]STA_SP1_NO!$F$88</f>
        <v>1493</v>
      </c>
      <c r="M13" s="332">
        <f>[11]STA_SP1_NO!$F$88</f>
        <v>108</v>
      </c>
      <c r="N13" s="249">
        <f t="shared" si="0"/>
        <v>16180</v>
      </c>
    </row>
    <row r="14" spans="1:14" x14ac:dyDescent="0.25">
      <c r="A14" s="32">
        <v>11</v>
      </c>
      <c r="B14" s="33" t="s">
        <v>22</v>
      </c>
      <c r="C14" s="143">
        <f>[1]STA_SP1_NO!$F$124</f>
        <v>0</v>
      </c>
      <c r="D14" s="118">
        <f>[2]STA_SP1_NO!$F$124</f>
        <v>0</v>
      </c>
      <c r="E14" s="143">
        <f>[3]STA_SP1_NO!$F$124</f>
        <v>0</v>
      </c>
      <c r="F14" s="118">
        <f>[4]STA_SP1_NO!$F$124</f>
        <v>0</v>
      </c>
      <c r="G14" s="61">
        <f>[5]STA_SP1_NO!$F$124</f>
        <v>0</v>
      </c>
      <c r="H14" s="144">
        <f>[6]STA_SP1_NO!$F$124</f>
        <v>0</v>
      </c>
      <c r="I14" s="61">
        <f>[7]STA_SP1_NO!$F$124</f>
        <v>0</v>
      </c>
      <c r="J14" s="68">
        <f>[8]STA_SP1_NO!$F$124</f>
        <v>0</v>
      </c>
      <c r="K14" s="61">
        <f>[9]STA_SP1_NO!$F$124</f>
        <v>0</v>
      </c>
      <c r="L14" s="68">
        <f>[10]STA_SP1_NO!$F$124</f>
        <v>0</v>
      </c>
      <c r="M14" s="332">
        <f>[11]STA_SP1_NO!$F$124</f>
        <v>0</v>
      </c>
      <c r="N14" s="249">
        <f t="shared" si="0"/>
        <v>0</v>
      </c>
    </row>
    <row r="15" spans="1:14" x14ac:dyDescent="0.25">
      <c r="A15" s="32">
        <v>12</v>
      </c>
      <c r="B15" s="33" t="s">
        <v>23</v>
      </c>
      <c r="C15" s="143">
        <f>[1]STA_SP1_NO!$F$128</f>
        <v>0</v>
      </c>
      <c r="D15" s="118">
        <f>[2]STA_SP1_NO!$F$128</f>
        <v>0</v>
      </c>
      <c r="E15" s="143">
        <f>[3]STA_SP1_NO!$F$128</f>
        <v>0</v>
      </c>
      <c r="F15" s="118">
        <f>[4]STA_SP1_NO!$F$128</f>
        <v>0</v>
      </c>
      <c r="G15" s="61">
        <f>[5]STA_SP1_NO!$F$128</f>
        <v>0</v>
      </c>
      <c r="H15" s="144">
        <f>[6]STA_SP1_NO!$F$128</f>
        <v>0</v>
      </c>
      <c r="I15" s="61">
        <f>[7]STA_SP1_NO!$F$128</f>
        <v>0</v>
      </c>
      <c r="J15" s="68">
        <f>[8]STA_SP1_NO!$F$128</f>
        <v>0</v>
      </c>
      <c r="K15" s="61">
        <f>[9]STA_SP1_NO!$F$128</f>
        <v>0</v>
      </c>
      <c r="L15" s="68">
        <f>[10]STA_SP1_NO!$F$128</f>
        <v>0</v>
      </c>
      <c r="M15" s="332">
        <f>[11]STA_SP1_NO!$F$128</f>
        <v>0</v>
      </c>
      <c r="N15" s="249">
        <f t="shared" si="0"/>
        <v>0</v>
      </c>
    </row>
    <row r="16" spans="1:14" x14ac:dyDescent="0.25">
      <c r="A16" s="32">
        <v>13</v>
      </c>
      <c r="B16" s="33" t="s">
        <v>24</v>
      </c>
      <c r="C16" s="143">
        <f>[1]STA_SP1_NO!$F$132</f>
        <v>77</v>
      </c>
      <c r="D16" s="118">
        <f>[2]STA_SP1_NO!$F$132</f>
        <v>7</v>
      </c>
      <c r="E16" s="143">
        <f>[3]STA_SP1_NO!$F$132</f>
        <v>11</v>
      </c>
      <c r="F16" s="118">
        <f>[4]STA_SP1_NO!$F$132</f>
        <v>16</v>
      </c>
      <c r="G16" s="61">
        <f>[5]STA_SP1_NO!$F$132</f>
        <v>33</v>
      </c>
      <c r="H16" s="144">
        <f>[6]STA_SP1_NO!$F$132</f>
        <v>1</v>
      </c>
      <c r="I16" s="61">
        <f>[7]STA_SP1_NO!$F$132</f>
        <v>4</v>
      </c>
      <c r="J16" s="68">
        <f>[8]STA_SP1_NO!$F$132</f>
        <v>27</v>
      </c>
      <c r="K16" s="61">
        <f>[9]STA_SP1_NO!$F$132</f>
        <v>4</v>
      </c>
      <c r="L16" s="68">
        <f>[10]STA_SP1_NO!$F$132</f>
        <v>10</v>
      </c>
      <c r="M16" s="332">
        <f>[11]STA_SP1_NO!$F$132</f>
        <v>0</v>
      </c>
      <c r="N16" s="249">
        <f t="shared" si="0"/>
        <v>190</v>
      </c>
    </row>
    <row r="17" spans="1:14" x14ac:dyDescent="0.25">
      <c r="A17" s="32">
        <v>14</v>
      </c>
      <c r="B17" s="33" t="s">
        <v>25</v>
      </c>
      <c r="C17" s="143">
        <f>[1]STA_SP1_NO!$F$153</f>
        <v>1</v>
      </c>
      <c r="D17" s="118">
        <f>[2]STA_SP1_NO!$F$153</f>
        <v>18</v>
      </c>
      <c r="E17" s="143">
        <f>[3]STA_SP1_NO!$F$153</f>
        <v>0</v>
      </c>
      <c r="F17" s="118">
        <f>[4]STA_SP1_NO!$F$153</f>
        <v>0</v>
      </c>
      <c r="G17" s="61">
        <f>[5]STA_SP1_NO!$F$153</f>
        <v>0</v>
      </c>
      <c r="H17" s="144">
        <f>[6]STA_SP1_NO!$F$153</f>
        <v>0</v>
      </c>
      <c r="I17" s="61">
        <f>[7]STA_SP1_NO!$F$153</f>
        <v>0</v>
      </c>
      <c r="J17" s="68">
        <f>[8]STA_SP1_NO!$F$153</f>
        <v>0</v>
      </c>
      <c r="K17" s="61">
        <f>[9]STA_SP1_NO!$F$153</f>
        <v>0</v>
      </c>
      <c r="L17" s="68">
        <f>[10]STA_SP1_NO!$F$153</f>
        <v>1</v>
      </c>
      <c r="M17" s="332">
        <f>[11]STA_SP1_NO!$F$153</f>
        <v>0</v>
      </c>
      <c r="N17" s="249">
        <f t="shared" si="0"/>
        <v>20</v>
      </c>
    </row>
    <row r="18" spans="1:14" x14ac:dyDescent="0.25">
      <c r="A18" s="32">
        <v>15</v>
      </c>
      <c r="B18" s="33" t="s">
        <v>26</v>
      </c>
      <c r="C18" s="143">
        <f>[1]STA_SP1_NO!$F$158</f>
        <v>0</v>
      </c>
      <c r="D18" s="118">
        <f>[2]STA_SP1_NO!$F$158</f>
        <v>0</v>
      </c>
      <c r="E18" s="143">
        <f>[3]STA_SP1_NO!$F$158</f>
        <v>0</v>
      </c>
      <c r="F18" s="118">
        <f>[4]STA_SP1_NO!$F$158</f>
        <v>0</v>
      </c>
      <c r="G18" s="61">
        <f>[5]STA_SP1_NO!$F$158</f>
        <v>0</v>
      </c>
      <c r="H18" s="144">
        <f>[6]STA_SP1_NO!$F$158</f>
        <v>0</v>
      </c>
      <c r="I18" s="61">
        <f>[7]STA_SP1_NO!$F$158</f>
        <v>0</v>
      </c>
      <c r="J18" s="68">
        <f>[8]STA_SP1_NO!$F$158</f>
        <v>0</v>
      </c>
      <c r="K18" s="61">
        <f>[9]STA_SP1_NO!$F$158</f>
        <v>0</v>
      </c>
      <c r="L18" s="68">
        <f>[10]STA_SP1_NO!$F$158</f>
        <v>0</v>
      </c>
      <c r="M18" s="332">
        <f>[11]STA_SP1_NO!$F$158</f>
        <v>0</v>
      </c>
      <c r="N18" s="249">
        <f t="shared" si="0"/>
        <v>0</v>
      </c>
    </row>
    <row r="19" spans="1:14" x14ac:dyDescent="0.25">
      <c r="A19" s="32">
        <v>16</v>
      </c>
      <c r="B19" s="33" t="s">
        <v>27</v>
      </c>
      <c r="C19" s="143">
        <f>[1]STA_SP1_NO!$F$161</f>
        <v>13</v>
      </c>
      <c r="D19" s="118">
        <f>[2]STA_SP1_NO!$F$161</f>
        <v>0</v>
      </c>
      <c r="E19" s="143">
        <f>[3]STA_SP1_NO!$F$161</f>
        <v>0</v>
      </c>
      <c r="F19" s="118">
        <f>[4]STA_SP1_NO!$F$161</f>
        <v>2</v>
      </c>
      <c r="G19" s="61">
        <f>[5]STA_SP1_NO!$F$161</f>
        <v>0</v>
      </c>
      <c r="H19" s="144">
        <f>[6]STA_SP1_NO!$F$161</f>
        <v>0</v>
      </c>
      <c r="I19" s="61">
        <f>[7]STA_SP1_NO!$F$161</f>
        <v>0</v>
      </c>
      <c r="J19" s="68">
        <f>[8]STA_SP1_NO!$F$161</f>
        <v>0</v>
      </c>
      <c r="K19" s="61">
        <f>[9]STA_SP1_NO!$F$161</f>
        <v>0</v>
      </c>
      <c r="L19" s="68">
        <f>[10]STA_SP1_NO!$F$161</f>
        <v>0</v>
      </c>
      <c r="M19" s="332">
        <f>[11]STA_SP1_NO!$F$161</f>
        <v>0</v>
      </c>
      <c r="N19" s="249">
        <f t="shared" si="0"/>
        <v>15</v>
      </c>
    </row>
    <row r="20" spans="1:14" x14ac:dyDescent="0.25">
      <c r="A20" s="32">
        <v>17</v>
      </c>
      <c r="B20" s="33" t="s">
        <v>28</v>
      </c>
      <c r="C20" s="143">
        <f>[1]STA_SP1_NO!$F$167</f>
        <v>0</v>
      </c>
      <c r="D20" s="118">
        <f>[2]STA_SP1_NO!$F$167</f>
        <v>0</v>
      </c>
      <c r="E20" s="143">
        <f>[3]STA_SP1_NO!$F$167</f>
        <v>0</v>
      </c>
      <c r="F20" s="118">
        <f>[4]STA_SP1_NO!$F$167</f>
        <v>0</v>
      </c>
      <c r="G20" s="61">
        <f>[5]STA_SP1_NO!$F$167</f>
        <v>0</v>
      </c>
      <c r="H20" s="144">
        <f>[6]STA_SP1_NO!$F$167</f>
        <v>0</v>
      </c>
      <c r="I20" s="61">
        <f>[7]STA_SP1_NO!$F$167</f>
        <v>0</v>
      </c>
      <c r="J20" s="68">
        <f>[8]STA_SP1_NO!$F$167</f>
        <v>0</v>
      </c>
      <c r="K20" s="61">
        <f>[9]STA_SP1_NO!$F$167</f>
        <v>0</v>
      </c>
      <c r="L20" s="68">
        <f>[10]STA_SP1_NO!$F$167</f>
        <v>0</v>
      </c>
      <c r="M20" s="332">
        <f>[11]STA_SP1_NO!$F$167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[1]STA_SP1_NO!$F$170</f>
        <v>138</v>
      </c>
      <c r="D21" s="118">
        <f>[2]STA_SP1_NO!$F$170</f>
        <v>369</v>
      </c>
      <c r="E21" s="143">
        <f>[3]STA_SP1_NO!$F$170</f>
        <v>27</v>
      </c>
      <c r="F21" s="118">
        <f>[4]STA_SP1_NO!$F$170</f>
        <v>221</v>
      </c>
      <c r="G21" s="61">
        <f>[5]STA_SP1_NO!$F$170</f>
        <v>181</v>
      </c>
      <c r="H21" s="144">
        <f>[6]STA_SP1_NO!$F$170</f>
        <v>23</v>
      </c>
      <c r="I21" s="61">
        <f>[7]STA_SP1_NO!$F$170</f>
        <v>74</v>
      </c>
      <c r="J21" s="68">
        <f>[8]STA_SP1_NO!$F$170</f>
        <v>164</v>
      </c>
      <c r="K21" s="61">
        <f>[9]STA_SP1_NO!$F$170</f>
        <v>27</v>
      </c>
      <c r="L21" s="68">
        <f>[10]STA_SP1_NO!$F$170</f>
        <v>97</v>
      </c>
      <c r="M21" s="332">
        <f>[11]STA_SP1_NO!$F$170</f>
        <v>0</v>
      </c>
      <c r="N21" s="249">
        <f t="shared" si="0"/>
        <v>1321</v>
      </c>
    </row>
    <row r="22" spans="1:14" ht="15.75" thickBot="1" x14ac:dyDescent="0.3">
      <c r="A22" s="36"/>
      <c r="B22" s="37" t="s">
        <v>3</v>
      </c>
      <c r="C22" s="38">
        <f>SUM(C4:C21)</f>
        <v>15664</v>
      </c>
      <c r="D22" s="51">
        <f>SUM(D4:D21)</f>
        <v>11124</v>
      </c>
      <c r="E22" s="69">
        <f t="shared" ref="E22:F22" si="1">SUM(E4:E21)</f>
        <v>2320</v>
      </c>
      <c r="F22" s="39">
        <f t="shared" si="1"/>
        <v>6663</v>
      </c>
      <c r="G22" s="41">
        <f t="shared" ref="G22:N22" si="2">SUM(G4:G21)</f>
        <v>9489</v>
      </c>
      <c r="H22" s="42">
        <f t="shared" si="2"/>
        <v>2501</v>
      </c>
      <c r="I22" s="41">
        <f t="shared" si="2"/>
        <v>6858</v>
      </c>
      <c r="J22" s="42">
        <f t="shared" si="2"/>
        <v>2194</v>
      </c>
      <c r="K22" s="41">
        <f t="shared" si="2"/>
        <v>5107</v>
      </c>
      <c r="L22" s="42">
        <f t="shared" si="2"/>
        <v>11173</v>
      </c>
      <c r="M22" s="347">
        <f t="shared" si="2"/>
        <v>122</v>
      </c>
      <c r="N22" s="250">
        <f t="shared" si="2"/>
        <v>73215</v>
      </c>
    </row>
    <row r="23" spans="1:14" ht="15.75" thickBot="1" x14ac:dyDescent="0.3">
      <c r="A23" s="43"/>
      <c r="B23" s="44"/>
      <c r="C23" s="46"/>
      <c r="D23" s="58"/>
      <c r="E23" s="58"/>
      <c r="F23" s="46"/>
      <c r="G23" s="46"/>
      <c r="H23" s="46"/>
      <c r="I23" s="46"/>
      <c r="J23" s="46"/>
      <c r="K23" s="46"/>
      <c r="L23" s="46"/>
      <c r="M23" s="348"/>
      <c r="N23" s="46"/>
    </row>
    <row r="24" spans="1:14" ht="15.75" thickBot="1" x14ac:dyDescent="0.3">
      <c r="A24" s="448" t="s">
        <v>31</v>
      </c>
      <c r="B24" s="449"/>
      <c r="C24" s="48">
        <f>C22/N22</f>
        <v>0.21394522980263608</v>
      </c>
      <c r="D24" s="47">
        <f>D22/N22</f>
        <v>0.15193607867240319</v>
      </c>
      <c r="E24" s="48">
        <f>E22/N22</f>
        <v>3.1687495731748956E-2</v>
      </c>
      <c r="F24" s="47">
        <f>F22/N22</f>
        <v>9.1005941405449708E-2</v>
      </c>
      <c r="G24" s="48">
        <f>G22/N22</f>
        <v>0.12960458922351978</v>
      </c>
      <c r="H24" s="47">
        <f>H22/N22</f>
        <v>3.4159666734958682E-2</v>
      </c>
      <c r="I24" s="48">
        <f>I22/N22</f>
        <v>9.3669330055316538E-2</v>
      </c>
      <c r="J24" s="47">
        <f>J22/N22</f>
        <v>2.9966536911835005E-2</v>
      </c>
      <c r="K24" s="48">
        <f>K22/N22</f>
        <v>6.9753465819845664E-2</v>
      </c>
      <c r="L24" s="336">
        <f>L22/N22</f>
        <v>0.15260534043570306</v>
      </c>
      <c r="M24" s="342">
        <f>M22/N22</f>
        <v>1.6663252065833504E-3</v>
      </c>
      <c r="N24" s="251">
        <f>N22/N22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27" t="s">
        <v>0</v>
      </c>
      <c r="B26" s="429" t="s">
        <v>1</v>
      </c>
      <c r="C26" s="474" t="s">
        <v>90</v>
      </c>
      <c r="D26" s="475"/>
      <c r="E26" s="475"/>
      <c r="F26" s="475"/>
      <c r="G26" s="475"/>
      <c r="H26" s="476"/>
      <c r="I26" s="472" t="s">
        <v>3</v>
      </c>
      <c r="J26" s="1"/>
      <c r="K26" s="1"/>
      <c r="L26" s="1"/>
      <c r="M26" s="1"/>
      <c r="N26" s="1"/>
    </row>
    <row r="27" spans="1:14" ht="15.75" thickBot="1" x14ac:dyDescent="0.3">
      <c r="A27" s="428"/>
      <c r="B27" s="431"/>
      <c r="C27" s="189" t="s">
        <v>11</v>
      </c>
      <c r="D27" s="215" t="s">
        <v>32</v>
      </c>
      <c r="E27" s="191" t="s">
        <v>7</v>
      </c>
      <c r="F27" s="127" t="s">
        <v>9</v>
      </c>
      <c r="G27" s="213" t="s">
        <v>4</v>
      </c>
      <c r="H27" s="253" t="s">
        <v>95</v>
      </c>
      <c r="I27" s="473"/>
      <c r="J27" s="81"/>
      <c r="K27" s="458" t="s">
        <v>33</v>
      </c>
      <c r="L27" s="459"/>
      <c r="M27" s="232">
        <f>N22</f>
        <v>73215</v>
      </c>
      <c r="N27" s="233">
        <f>M27/M29</f>
        <v>0.96289915303277396</v>
      </c>
    </row>
    <row r="28" spans="1:14" ht="15.75" thickBot="1" x14ac:dyDescent="0.3">
      <c r="A28" s="22">
        <v>19</v>
      </c>
      <c r="B28" s="80" t="s">
        <v>34</v>
      </c>
      <c r="C28" s="190">
        <f>[12]STA_SP2_ZO!$L$51</f>
        <v>1230</v>
      </c>
      <c r="D28" s="192">
        <f>[13]STA_SP2_ZO!$L$51</f>
        <v>614</v>
      </c>
      <c r="E28" s="196">
        <f>[14]STA_SP2_ZO!$L$51</f>
        <v>383</v>
      </c>
      <c r="F28" s="50">
        <f>[15]STA_SP2_ZO!$L$51</f>
        <v>244</v>
      </c>
      <c r="G28" s="115">
        <f>[16]STA_SP2_ZO!$L$51</f>
        <v>346</v>
      </c>
      <c r="H28" s="214">
        <f>[17]STA_SP2_ZO!$L$51</f>
        <v>4</v>
      </c>
      <c r="I28" s="244">
        <f>SUM(C28:H28)</f>
        <v>2821</v>
      </c>
      <c r="J28" s="81"/>
      <c r="K28" s="450" t="s">
        <v>34</v>
      </c>
      <c r="L28" s="451"/>
      <c r="M28" s="234">
        <f>I28</f>
        <v>2821</v>
      </c>
      <c r="N28" s="235">
        <f>M28/M29</f>
        <v>3.7100846967226049E-2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2" t="s">
        <v>3</v>
      </c>
      <c r="L29" s="453"/>
      <c r="M29" s="236">
        <f>M27+M28</f>
        <v>76036</v>
      </c>
      <c r="N29" s="237">
        <f>M29/M29</f>
        <v>1</v>
      </c>
    </row>
    <row r="30" spans="1:14" ht="15.75" thickBot="1" x14ac:dyDescent="0.3">
      <c r="A30" s="419" t="s">
        <v>35</v>
      </c>
      <c r="B30" s="420"/>
      <c r="C30" s="23">
        <f>C28/I28</f>
        <v>0.43601559730591988</v>
      </c>
      <c r="D30" s="82">
        <f>D28/I28</f>
        <v>0.21765331442750799</v>
      </c>
      <c r="E30" s="23">
        <f>E28/I28</f>
        <v>0.1357674583481035</v>
      </c>
      <c r="F30" s="82">
        <f>F28/I28</f>
        <v>8.6494151010280046E-2</v>
      </c>
      <c r="G30" s="23">
        <f>G28/I28</f>
        <v>0.12265154200638072</v>
      </c>
      <c r="H30" s="82">
        <f>H28/I28</f>
        <v>1.4179369018078695E-3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H31" s="1"/>
    </row>
    <row r="32" spans="1:14" x14ac:dyDescent="0.25">
      <c r="D32" s="163"/>
    </row>
  </sheetData>
  <mergeCells count="14">
    <mergeCell ref="N2:N3"/>
    <mergeCell ref="A30:B30"/>
    <mergeCell ref="K28:L28"/>
    <mergeCell ref="C1:K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R15" sqref="R15"/>
    </sheetView>
  </sheetViews>
  <sheetFormatPr defaultRowHeight="15" x14ac:dyDescent="0.25"/>
  <cols>
    <col min="1" max="1" width="4.5703125" customWidth="1"/>
    <col min="2" max="2" width="27.85546875" customWidth="1"/>
    <col min="8" max="8" width="9.5703125" customWidth="1"/>
  </cols>
  <sheetData>
    <row r="1" spans="1:14" ht="28.5" customHeight="1" thickBot="1" x14ac:dyDescent="0.3">
      <c r="A1" s="120"/>
      <c r="B1" s="120"/>
      <c r="C1" s="460" t="s">
        <v>101</v>
      </c>
      <c r="D1" s="461"/>
      <c r="E1" s="461"/>
      <c r="F1" s="461"/>
      <c r="G1" s="461"/>
      <c r="H1" s="461"/>
      <c r="I1" s="461"/>
      <c r="J1" s="26"/>
      <c r="K1" s="26"/>
      <c r="L1" s="26"/>
      <c r="M1" s="26"/>
      <c r="N1" s="26"/>
    </row>
    <row r="2" spans="1:14" ht="15.75" thickBot="1" x14ac:dyDescent="0.3">
      <c r="A2" s="463" t="s">
        <v>0</v>
      </c>
      <c r="B2" s="465" t="s">
        <v>1</v>
      </c>
      <c r="C2" s="482" t="s">
        <v>2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67" t="s">
        <v>3</v>
      </c>
    </row>
    <row r="3" spans="1:14" ht="15.75" thickBot="1" x14ac:dyDescent="0.3">
      <c r="A3" s="464"/>
      <c r="B3" s="481"/>
      <c r="C3" s="354" t="s">
        <v>69</v>
      </c>
      <c r="D3" s="307" t="s">
        <v>4</v>
      </c>
      <c r="E3" s="355" t="s">
        <v>5</v>
      </c>
      <c r="F3" s="307" t="s">
        <v>6</v>
      </c>
      <c r="G3" s="357" t="s">
        <v>8</v>
      </c>
      <c r="H3" s="356" t="s">
        <v>94</v>
      </c>
      <c r="I3" s="357" t="s">
        <v>9</v>
      </c>
      <c r="J3" s="372" t="s">
        <v>10</v>
      </c>
      <c r="K3" s="358" t="s">
        <v>93</v>
      </c>
      <c r="L3" s="307" t="s">
        <v>11</v>
      </c>
      <c r="M3" s="373" t="s">
        <v>96</v>
      </c>
      <c r="N3" s="480"/>
    </row>
    <row r="4" spans="1:14" x14ac:dyDescent="0.25">
      <c r="A4" s="30">
        <v>1</v>
      </c>
      <c r="B4" s="351" t="s">
        <v>12</v>
      </c>
      <c r="C4" s="370">
        <f>[1]STA_SP1_NO!$H$10</f>
        <v>191</v>
      </c>
      <c r="D4" s="54">
        <f>[2]STA_SP1_NO!$H$10</f>
        <v>427</v>
      </c>
      <c r="E4" s="370">
        <f>[3]STA_SP1_NO!$H$10</f>
        <v>52</v>
      </c>
      <c r="F4" s="54">
        <f>[4]STA_SP1_NO!$H$10</f>
        <v>171</v>
      </c>
      <c r="G4" s="62">
        <f>[5]STA_SP1_NO!$H$10</f>
        <v>198</v>
      </c>
      <c r="H4" s="371">
        <f>[6]STA_SP1_NO!$H$10</f>
        <v>138</v>
      </c>
      <c r="I4" s="62">
        <f>[7]STA_SP1_NO!$H$10</f>
        <v>37</v>
      </c>
      <c r="J4" s="54">
        <f>[8]STA_SP1_NO!$H$10</f>
        <v>70</v>
      </c>
      <c r="K4" s="62">
        <f>[9]STA_SP1_NO!$H$10</f>
        <v>79</v>
      </c>
      <c r="L4" s="54">
        <f>[10]STA_SP1_NO!$H$10</f>
        <v>371</v>
      </c>
      <c r="M4" s="374">
        <f>[11]STA_SP1_NO!$H$10</f>
        <v>2</v>
      </c>
      <c r="N4" s="369">
        <f t="shared" ref="N4:N22" si="0">SUM(C4:M4)</f>
        <v>1736</v>
      </c>
    </row>
    <row r="5" spans="1:14" x14ac:dyDescent="0.25">
      <c r="A5" s="32">
        <v>2</v>
      </c>
      <c r="B5" s="352" t="s">
        <v>13</v>
      </c>
      <c r="C5" s="370">
        <f>[1]STA_SP1_NO!$H$20</f>
        <v>270</v>
      </c>
      <c r="D5" s="54">
        <f>[2]STA_SP1_NO!$H$20</f>
        <v>937</v>
      </c>
      <c r="E5" s="370">
        <f>[3]STA_SP1_NO!$H$20</f>
        <v>59</v>
      </c>
      <c r="F5" s="54">
        <f>[4]STA_SP1_NO!$H$20</f>
        <v>714</v>
      </c>
      <c r="G5" s="62">
        <f>[5]STA_SP1_NO!$H$20</f>
        <v>914</v>
      </c>
      <c r="H5" s="371">
        <f>[6]STA_SP1_NO!$H$20</f>
        <v>0</v>
      </c>
      <c r="I5" s="62">
        <f>[7]STA_SP1_NO!$H$20</f>
        <v>15</v>
      </c>
      <c r="J5" s="54">
        <f>[8]STA_SP1_NO!$H$20</f>
        <v>0</v>
      </c>
      <c r="K5" s="62">
        <f>[9]STA_SP1_NO!$H$20</f>
        <v>127</v>
      </c>
      <c r="L5" s="54">
        <f>[10]STA_SP1_NO!$H$20</f>
        <v>1375</v>
      </c>
      <c r="M5" s="374">
        <f>[11]STA_SP1_NO!$H$20</f>
        <v>0</v>
      </c>
      <c r="N5" s="369">
        <f t="shared" si="0"/>
        <v>4411</v>
      </c>
    </row>
    <row r="6" spans="1:14" x14ac:dyDescent="0.25">
      <c r="A6" s="32">
        <v>3</v>
      </c>
      <c r="B6" s="352" t="s">
        <v>14</v>
      </c>
      <c r="C6" s="370">
        <f>[1]STA_SP1_NO!$H$24</f>
        <v>337</v>
      </c>
      <c r="D6" s="54">
        <f>[2]STA_SP1_NO!$H$24</f>
        <v>421</v>
      </c>
      <c r="E6" s="370">
        <f>[3]STA_SP1_NO!$H$24</f>
        <v>220</v>
      </c>
      <c r="F6" s="54">
        <f>[4]STA_SP1_NO!$H$24</f>
        <v>305</v>
      </c>
      <c r="G6" s="62">
        <f>[5]STA_SP1_NO!$H$24</f>
        <v>383</v>
      </c>
      <c r="H6" s="371">
        <f>[6]STA_SP1_NO!$H$24</f>
        <v>158</v>
      </c>
      <c r="I6" s="62">
        <f>[7]STA_SP1_NO!$H$24</f>
        <v>155</v>
      </c>
      <c r="J6" s="54">
        <f>[8]STA_SP1_NO!$H$24</f>
        <v>177</v>
      </c>
      <c r="K6" s="62">
        <f>[9]STA_SP1_NO!$H$24</f>
        <v>163</v>
      </c>
      <c r="L6" s="54">
        <f>[10]STA_SP1_NO!$H$24</f>
        <v>384</v>
      </c>
      <c r="M6" s="374">
        <f>[11]STA_SP1_NO!$H$24</f>
        <v>7</v>
      </c>
      <c r="N6" s="369">
        <f t="shared" si="0"/>
        <v>2710</v>
      </c>
    </row>
    <row r="7" spans="1:14" x14ac:dyDescent="0.25">
      <c r="A7" s="32">
        <v>4</v>
      </c>
      <c r="B7" s="352" t="s">
        <v>15</v>
      </c>
      <c r="C7" s="370">
        <f>[1]STA_SP1_NO!$H$27</f>
        <v>0</v>
      </c>
      <c r="D7" s="54">
        <f>[2]STA_SP1_NO!$H$27</f>
        <v>0</v>
      </c>
      <c r="E7" s="370">
        <f>[3]STA_SP1_NO!$H$27</f>
        <v>0</v>
      </c>
      <c r="F7" s="54">
        <f>[4]STA_SP1_NO!$H$27</f>
        <v>0</v>
      </c>
      <c r="G7" s="62">
        <f>[5]STA_SP1_NO!$H$27</f>
        <v>0</v>
      </c>
      <c r="H7" s="371">
        <f>[6]STA_SP1_NO!$H$27</f>
        <v>0</v>
      </c>
      <c r="I7" s="62">
        <f>[7]STA_SP1_NO!$H$27</f>
        <v>0</v>
      </c>
      <c r="J7" s="54">
        <f>[8]STA_SP1_NO!$H$27</f>
        <v>0</v>
      </c>
      <c r="K7" s="62">
        <f>[9]STA_SP1_NO!$H$27</f>
        <v>0</v>
      </c>
      <c r="L7" s="54">
        <f>[10]STA_SP1_NO!$H$27</f>
        <v>0</v>
      </c>
      <c r="M7" s="374">
        <f>[11]STA_SP1_NO!$H$27</f>
        <v>0</v>
      </c>
      <c r="N7" s="369">
        <f t="shared" si="0"/>
        <v>0</v>
      </c>
    </row>
    <row r="8" spans="1:14" x14ac:dyDescent="0.25">
      <c r="A8" s="32">
        <v>5</v>
      </c>
      <c r="B8" s="352" t="s">
        <v>16</v>
      </c>
      <c r="C8" s="370">
        <f>[1]STA_SP1_NO!$H$30</f>
        <v>0</v>
      </c>
      <c r="D8" s="54">
        <f>[2]STA_SP1_NO!$H$30</f>
        <v>2</v>
      </c>
      <c r="E8" s="370">
        <f>[3]STA_SP1_NO!$H$30</f>
        <v>0</v>
      </c>
      <c r="F8" s="54">
        <f>[4]STA_SP1_NO!$H$30</f>
        <v>0</v>
      </c>
      <c r="G8" s="62">
        <f>[5]STA_SP1_NO!$H$30</f>
        <v>0</v>
      </c>
      <c r="H8" s="371">
        <f>[6]STA_SP1_NO!$H$30</f>
        <v>0</v>
      </c>
      <c r="I8" s="62">
        <f>[7]STA_SP1_NO!$H$30</f>
        <v>0</v>
      </c>
      <c r="J8" s="54">
        <f>[8]STA_SP1_NO!$H$30</f>
        <v>0</v>
      </c>
      <c r="K8" s="62">
        <f>[9]STA_SP1_NO!$H$30</f>
        <v>0</v>
      </c>
      <c r="L8" s="54">
        <f>[10]STA_SP1_NO!$H$30</f>
        <v>0</v>
      </c>
      <c r="M8" s="374">
        <f>[11]STA_SP1_NO!$H$30</f>
        <v>0</v>
      </c>
      <c r="N8" s="369">
        <f t="shared" si="0"/>
        <v>2</v>
      </c>
    </row>
    <row r="9" spans="1:14" x14ac:dyDescent="0.25">
      <c r="A9" s="32">
        <v>6</v>
      </c>
      <c r="B9" s="352" t="s">
        <v>17</v>
      </c>
      <c r="C9" s="370">
        <f>[1]STA_SP1_NO!$H$33</f>
        <v>0</v>
      </c>
      <c r="D9" s="54">
        <f>[2]STA_SP1_NO!$H$33</f>
        <v>0</v>
      </c>
      <c r="E9" s="370">
        <f>[3]STA_SP1_NO!$H$33</f>
        <v>0</v>
      </c>
      <c r="F9" s="54">
        <f>[4]STA_SP1_NO!$H$33</f>
        <v>1</v>
      </c>
      <c r="G9" s="62">
        <f>[5]STA_SP1_NO!$H$33</f>
        <v>0</v>
      </c>
      <c r="H9" s="371">
        <f>[6]STA_SP1_NO!$H$33</f>
        <v>0</v>
      </c>
      <c r="I9" s="62">
        <f>[7]STA_SP1_NO!$H$33</f>
        <v>0</v>
      </c>
      <c r="J9" s="54">
        <f>[8]STA_SP1_NO!$H$33</f>
        <v>0</v>
      </c>
      <c r="K9" s="62">
        <f>[9]STA_SP1_NO!$H$33</f>
        <v>0</v>
      </c>
      <c r="L9" s="54">
        <f>[10]STA_SP1_NO!$H$33</f>
        <v>0</v>
      </c>
      <c r="M9" s="374">
        <f>[11]STA_SP1_NO!$H$33</f>
        <v>0</v>
      </c>
      <c r="N9" s="369">
        <f t="shared" si="0"/>
        <v>1</v>
      </c>
    </row>
    <row r="10" spans="1:14" x14ac:dyDescent="0.25">
      <c r="A10" s="32">
        <v>7</v>
      </c>
      <c r="B10" s="352" t="s">
        <v>18</v>
      </c>
      <c r="C10" s="370">
        <f>[1]STA_SP1_NO!$H$36</f>
        <v>4</v>
      </c>
      <c r="D10" s="54">
        <f>[2]STA_SP1_NO!$H$36</f>
        <v>2</v>
      </c>
      <c r="E10" s="370">
        <f>[3]STA_SP1_NO!$H$36</f>
        <v>0</v>
      </c>
      <c r="F10" s="54">
        <f>[4]STA_SP1_NO!$H$36</f>
        <v>0</v>
      </c>
      <c r="G10" s="62">
        <f>[5]STA_SP1_NO!$H$36</f>
        <v>0</v>
      </c>
      <c r="H10" s="371">
        <f>[6]STA_SP1_NO!$H$36</f>
        <v>0</v>
      </c>
      <c r="I10" s="62">
        <f>[7]STA_SP1_NO!$H$36</f>
        <v>0</v>
      </c>
      <c r="J10" s="54">
        <f>[8]STA_SP1_NO!$H$36</f>
        <v>0</v>
      </c>
      <c r="K10" s="62">
        <f>[9]STA_SP1_NO!$H$36</f>
        <v>0</v>
      </c>
      <c r="L10" s="54">
        <f>[10]STA_SP1_NO!$H$36</f>
        <v>0</v>
      </c>
      <c r="M10" s="374">
        <f>[11]STA_SP1_NO!$H$36</f>
        <v>0</v>
      </c>
      <c r="N10" s="369">
        <f t="shared" si="0"/>
        <v>6</v>
      </c>
    </row>
    <row r="11" spans="1:14" x14ac:dyDescent="0.25">
      <c r="A11" s="32">
        <v>8</v>
      </c>
      <c r="B11" s="352" t="s">
        <v>19</v>
      </c>
      <c r="C11" s="370">
        <f>[1]STA_SP1_NO!$H$40</f>
        <v>23</v>
      </c>
      <c r="D11" s="54">
        <f>[2]STA_SP1_NO!$H$40</f>
        <v>35</v>
      </c>
      <c r="E11" s="370">
        <f>[3]STA_SP1_NO!$H$40</f>
        <v>8</v>
      </c>
      <c r="F11" s="54">
        <f>[4]STA_SP1_NO!$H$40</f>
        <v>44</v>
      </c>
      <c r="G11" s="62">
        <f>[5]STA_SP1_NO!$H$40</f>
        <v>67</v>
      </c>
      <c r="H11" s="371">
        <f>[6]STA_SP1_NO!$H$40</f>
        <v>25</v>
      </c>
      <c r="I11" s="62">
        <f>[7]STA_SP1_NO!$H$40</f>
        <v>11</v>
      </c>
      <c r="J11" s="54">
        <f>[8]STA_SP1_NO!$H$40</f>
        <v>44</v>
      </c>
      <c r="K11" s="62">
        <f>[9]STA_SP1_NO!$H$40</f>
        <v>15</v>
      </c>
      <c r="L11" s="54">
        <f>[10]STA_SP1_NO!$H$40</f>
        <v>19</v>
      </c>
      <c r="M11" s="374">
        <f>[11]STA_SP1_NO!$H$40</f>
        <v>0</v>
      </c>
      <c r="N11" s="369">
        <f t="shared" si="0"/>
        <v>291</v>
      </c>
    </row>
    <row r="12" spans="1:14" x14ac:dyDescent="0.25">
      <c r="A12" s="32">
        <v>9</v>
      </c>
      <c r="B12" s="352" t="s">
        <v>20</v>
      </c>
      <c r="C12" s="370">
        <f>[1]STA_SP1_NO!$H$56</f>
        <v>223</v>
      </c>
      <c r="D12" s="54">
        <f>[2]STA_SP1_NO!$H$56</f>
        <v>151</v>
      </c>
      <c r="E12" s="370">
        <f>[3]STA_SP1_NO!$H$56</f>
        <v>69</v>
      </c>
      <c r="F12" s="54">
        <f>[4]STA_SP1_NO!$H$56</f>
        <v>225</v>
      </c>
      <c r="G12" s="62">
        <f>[5]STA_SP1_NO!$H$56</f>
        <v>40</v>
      </c>
      <c r="H12" s="371">
        <f>[6]STA_SP1_NO!$H$56</f>
        <v>14</v>
      </c>
      <c r="I12" s="62">
        <f>[7]STA_SP1_NO!$H$56</f>
        <v>35</v>
      </c>
      <c r="J12" s="54">
        <f>[8]STA_SP1_NO!$H$56</f>
        <v>52</v>
      </c>
      <c r="K12" s="62">
        <f>[9]STA_SP1_NO!$H$56</f>
        <v>27</v>
      </c>
      <c r="L12" s="54">
        <f>[10]STA_SP1_NO!$H$56</f>
        <v>93</v>
      </c>
      <c r="M12" s="374">
        <f>[11]STA_SP1_NO!$H$56</f>
        <v>0</v>
      </c>
      <c r="N12" s="369">
        <f t="shared" si="0"/>
        <v>929</v>
      </c>
    </row>
    <row r="13" spans="1:14" x14ac:dyDescent="0.25">
      <c r="A13" s="32">
        <v>10</v>
      </c>
      <c r="B13" s="352" t="s">
        <v>21</v>
      </c>
      <c r="C13" s="370">
        <f>[1]STA_SP1_NO!$H$88</f>
        <v>1859</v>
      </c>
      <c r="D13" s="54">
        <f>[2]STA_SP1_NO!$H$88</f>
        <v>1028</v>
      </c>
      <c r="E13" s="370">
        <f>[3]STA_SP1_NO!$H$88</f>
        <v>988</v>
      </c>
      <c r="F13" s="54">
        <f>[4]STA_SP1_NO!$H$88</f>
        <v>897</v>
      </c>
      <c r="G13" s="62">
        <f>[5]STA_SP1_NO!$H$88</f>
        <v>1633</v>
      </c>
      <c r="H13" s="371">
        <f>[6]STA_SP1_NO!$H$88</f>
        <v>3588</v>
      </c>
      <c r="I13" s="62">
        <f>[7]STA_SP1_NO!$H$88</f>
        <v>1124</v>
      </c>
      <c r="J13" s="54">
        <f>[8]STA_SP1_NO!$H$88</f>
        <v>915</v>
      </c>
      <c r="K13" s="62">
        <f>[9]STA_SP1_NO!$H$88</f>
        <v>632</v>
      </c>
      <c r="L13" s="54">
        <f>[10]STA_SP1_NO!$H$88</f>
        <v>1340</v>
      </c>
      <c r="M13" s="374">
        <f>[11]STA_SP1_NO!$H$88</f>
        <v>51</v>
      </c>
      <c r="N13" s="369">
        <f t="shared" si="0"/>
        <v>14055</v>
      </c>
    </row>
    <row r="14" spans="1:14" x14ac:dyDescent="0.25">
      <c r="A14" s="32">
        <v>11</v>
      </c>
      <c r="B14" s="352" t="s">
        <v>22</v>
      </c>
      <c r="C14" s="370">
        <f>[1]STA_SP1_NO!$H$124</f>
        <v>0</v>
      </c>
      <c r="D14" s="54">
        <f>[2]STA_SP1_NO!$H$124</f>
        <v>0</v>
      </c>
      <c r="E14" s="370">
        <f>[3]STA_SP1_NO!$H$124</f>
        <v>0</v>
      </c>
      <c r="F14" s="54">
        <f>[4]STA_SP1_NO!$H$124</f>
        <v>0</v>
      </c>
      <c r="G14" s="62">
        <f>[5]STA_SP1_NO!$H$124</f>
        <v>0</v>
      </c>
      <c r="H14" s="371">
        <f>[6]STA_SP1_NO!$H$124</f>
        <v>0</v>
      </c>
      <c r="I14" s="62">
        <f>[7]STA_SP1_NO!$H$124</f>
        <v>0</v>
      </c>
      <c r="J14" s="54">
        <f>[8]STA_SP1_NO!$H$124</f>
        <v>0</v>
      </c>
      <c r="K14" s="62">
        <f>[9]STA_SP1_NO!$H$124</f>
        <v>0</v>
      </c>
      <c r="L14" s="54">
        <f>[10]STA_SP1_NO!$H$124</f>
        <v>0</v>
      </c>
      <c r="M14" s="374">
        <f>[11]STA_SP1_NO!$H$124</f>
        <v>0</v>
      </c>
      <c r="N14" s="369">
        <f t="shared" si="0"/>
        <v>0</v>
      </c>
    </row>
    <row r="15" spans="1:14" x14ac:dyDescent="0.25">
      <c r="A15" s="32">
        <v>12</v>
      </c>
      <c r="B15" s="352" t="s">
        <v>23</v>
      </c>
      <c r="C15" s="370">
        <f>[1]STA_SP1_NO!$H$128</f>
        <v>0</v>
      </c>
      <c r="D15" s="54">
        <f>[2]STA_SP1_NO!$H$128</f>
        <v>6</v>
      </c>
      <c r="E15" s="370">
        <f>[3]STA_SP1_NO!$H$128</f>
        <v>0</v>
      </c>
      <c r="F15" s="54">
        <f>[4]STA_SP1_NO!$H$128</f>
        <v>0</v>
      </c>
      <c r="G15" s="62">
        <f>[5]STA_SP1_NO!$H$128</f>
        <v>0</v>
      </c>
      <c r="H15" s="371">
        <f>[6]STA_SP1_NO!$H$128</f>
        <v>0</v>
      </c>
      <c r="I15" s="62">
        <f>[7]STA_SP1_NO!$H$128</f>
        <v>0</v>
      </c>
      <c r="J15" s="54">
        <f>[8]STA_SP1_NO!$H$128</f>
        <v>0</v>
      </c>
      <c r="K15" s="62">
        <f>[9]STA_SP1_NO!$H$128</f>
        <v>0</v>
      </c>
      <c r="L15" s="54">
        <f>[10]STA_SP1_NO!$H$128</f>
        <v>0</v>
      </c>
      <c r="M15" s="374">
        <f>[11]STA_SP1_NO!$H$128</f>
        <v>0</v>
      </c>
      <c r="N15" s="369">
        <f t="shared" si="0"/>
        <v>6</v>
      </c>
    </row>
    <row r="16" spans="1:14" x14ac:dyDescent="0.25">
      <c r="A16" s="32">
        <v>13</v>
      </c>
      <c r="B16" s="352" t="s">
        <v>24</v>
      </c>
      <c r="C16" s="370">
        <f>[1]STA_SP1_NO!$H$132</f>
        <v>79</v>
      </c>
      <c r="D16" s="54">
        <f>[2]STA_SP1_NO!$H$132</f>
        <v>12</v>
      </c>
      <c r="E16" s="370">
        <f>[3]STA_SP1_NO!$H$132</f>
        <v>20</v>
      </c>
      <c r="F16" s="54">
        <f>[4]STA_SP1_NO!$H$132</f>
        <v>10</v>
      </c>
      <c r="G16" s="62">
        <f>[5]STA_SP1_NO!$H$132</f>
        <v>39</v>
      </c>
      <c r="H16" s="371">
        <f>[6]STA_SP1_NO!$H$132</f>
        <v>6</v>
      </c>
      <c r="I16" s="62">
        <f>[7]STA_SP1_NO!$H$132</f>
        <v>23</v>
      </c>
      <c r="J16" s="54">
        <f>[8]STA_SP1_NO!$H$132</f>
        <v>27</v>
      </c>
      <c r="K16" s="62">
        <f>[9]STA_SP1_NO!$H$132</f>
        <v>6</v>
      </c>
      <c r="L16" s="54">
        <f>[10]STA_SP1_NO!$H$132</f>
        <v>8</v>
      </c>
      <c r="M16" s="374">
        <f>[11]STA_SP1_NO!$H$132</f>
        <v>0</v>
      </c>
      <c r="N16" s="369">
        <f t="shared" si="0"/>
        <v>230</v>
      </c>
    </row>
    <row r="17" spans="1:14" x14ac:dyDescent="0.25">
      <c r="A17" s="32">
        <v>14</v>
      </c>
      <c r="B17" s="352" t="s">
        <v>25</v>
      </c>
      <c r="C17" s="370">
        <f>[1]STA_SP1_NO!$H$153</f>
        <v>0</v>
      </c>
      <c r="D17" s="54">
        <f>[2]STA_SP1_NO!$H$153</f>
        <v>16</v>
      </c>
      <c r="E17" s="370">
        <f>[3]STA_SP1_NO!$H$153</f>
        <v>0</v>
      </c>
      <c r="F17" s="54">
        <f>[4]STA_SP1_NO!$H$153</f>
        <v>0</v>
      </c>
      <c r="G17" s="62">
        <f>[5]STA_SP1_NO!$H$153</f>
        <v>0</v>
      </c>
      <c r="H17" s="371">
        <f>[6]STA_SP1_NO!$H$153</f>
        <v>0</v>
      </c>
      <c r="I17" s="62">
        <f>[7]STA_SP1_NO!$H$153</f>
        <v>0</v>
      </c>
      <c r="J17" s="54">
        <f>[8]STA_SP1_NO!$H$153</f>
        <v>0</v>
      </c>
      <c r="K17" s="62">
        <f>[9]STA_SP1_NO!$H$153</f>
        <v>1</v>
      </c>
      <c r="L17" s="54">
        <f>[10]STA_SP1_NO!$H$153</f>
        <v>0</v>
      </c>
      <c r="M17" s="374">
        <f>[11]STA_SP1_NO!$H$153</f>
        <v>0</v>
      </c>
      <c r="N17" s="369">
        <f t="shared" si="0"/>
        <v>17</v>
      </c>
    </row>
    <row r="18" spans="1:14" x14ac:dyDescent="0.25">
      <c r="A18" s="32">
        <v>15</v>
      </c>
      <c r="B18" s="352" t="s">
        <v>26</v>
      </c>
      <c r="C18" s="370">
        <f>[1]STA_SP1_NO!$H$158</f>
        <v>0</v>
      </c>
      <c r="D18" s="54">
        <f>[2]STA_SP1_NO!$H$158</f>
        <v>0</v>
      </c>
      <c r="E18" s="370">
        <f>[3]STA_SP1_NO!$H$158</f>
        <v>0</v>
      </c>
      <c r="F18" s="54">
        <f>[4]STA_SP1_NO!$H$158</f>
        <v>0</v>
      </c>
      <c r="G18" s="62">
        <f>[5]STA_SP1_NO!$H$158</f>
        <v>0</v>
      </c>
      <c r="H18" s="371">
        <f>[6]STA_SP1_NO!$H$158</f>
        <v>0</v>
      </c>
      <c r="I18" s="62">
        <f>[7]STA_SP1_NO!$H$158</f>
        <v>0</v>
      </c>
      <c r="J18" s="54">
        <f>[8]STA_SP1_NO!$H$158</f>
        <v>0</v>
      </c>
      <c r="K18" s="62">
        <f>[9]STA_SP1_NO!$H$158</f>
        <v>0</v>
      </c>
      <c r="L18" s="54">
        <f>[10]STA_SP1_NO!$H$158</f>
        <v>0</v>
      </c>
      <c r="M18" s="374">
        <f>[11]STA_SP1_NO!$H$158</f>
        <v>0</v>
      </c>
      <c r="N18" s="369">
        <f t="shared" si="0"/>
        <v>0</v>
      </c>
    </row>
    <row r="19" spans="1:14" x14ac:dyDescent="0.25">
      <c r="A19" s="32">
        <v>16</v>
      </c>
      <c r="B19" s="352" t="s">
        <v>27</v>
      </c>
      <c r="C19" s="370">
        <f>[1]STA_SP1_NO!$H$161</f>
        <v>1</v>
      </c>
      <c r="D19" s="54">
        <f>[2]STA_SP1_NO!$H$161</f>
        <v>0</v>
      </c>
      <c r="E19" s="370">
        <f>[3]STA_SP1_NO!$H$161</f>
        <v>0</v>
      </c>
      <c r="F19" s="54">
        <f>[4]STA_SP1_NO!$H$161</f>
        <v>4</v>
      </c>
      <c r="G19" s="62">
        <f>[5]STA_SP1_NO!$H$161</f>
        <v>0</v>
      </c>
      <c r="H19" s="371">
        <f>[6]STA_SP1_NO!$H$161</f>
        <v>0</v>
      </c>
      <c r="I19" s="62">
        <f>[7]STA_SP1_NO!$H$161</f>
        <v>2</v>
      </c>
      <c r="J19" s="54">
        <f>[8]STA_SP1_NO!$H$161</f>
        <v>0</v>
      </c>
      <c r="K19" s="62">
        <f>[9]STA_SP1_NO!$H$161</f>
        <v>0</v>
      </c>
      <c r="L19" s="54">
        <f>[10]STA_SP1_NO!$H$161</f>
        <v>0</v>
      </c>
      <c r="M19" s="374">
        <f>[11]STA_SP1_NO!$H$161</f>
        <v>0</v>
      </c>
      <c r="N19" s="369">
        <f t="shared" si="0"/>
        <v>7</v>
      </c>
    </row>
    <row r="20" spans="1:14" x14ac:dyDescent="0.25">
      <c r="A20" s="32">
        <v>17</v>
      </c>
      <c r="B20" s="352" t="s">
        <v>28</v>
      </c>
      <c r="C20" s="370">
        <f>[1]STA_SP1_NO!$H$167</f>
        <v>0</v>
      </c>
      <c r="D20" s="54">
        <f>[2]STA_SP1_NO!$H$167</f>
        <v>0</v>
      </c>
      <c r="E20" s="370">
        <f>[3]STA_SP1_NO!$H$167</f>
        <v>0</v>
      </c>
      <c r="F20" s="54">
        <f>[4]STA_SP1_NO!$H$167</f>
        <v>0</v>
      </c>
      <c r="G20" s="62">
        <f>[5]STA_SP1_NO!$H$167</f>
        <v>0</v>
      </c>
      <c r="H20" s="371">
        <f>[6]STA_SP1_NO!$H$167</f>
        <v>0</v>
      </c>
      <c r="I20" s="62">
        <f>[7]STA_SP1_NO!$H$167</f>
        <v>0</v>
      </c>
      <c r="J20" s="54">
        <f>[8]STA_SP1_NO!$H$167</f>
        <v>0</v>
      </c>
      <c r="K20" s="62">
        <f>[9]STA_SP1_NO!$H$167</f>
        <v>0</v>
      </c>
      <c r="L20" s="54">
        <f>[10]STA_SP1_NO!$H$167</f>
        <v>0</v>
      </c>
      <c r="M20" s="374">
        <f>[11]STA_SP1_NO!$H$167</f>
        <v>0</v>
      </c>
      <c r="N20" s="369">
        <f t="shared" si="0"/>
        <v>0</v>
      </c>
    </row>
    <row r="21" spans="1:14" ht="15.75" thickBot="1" x14ac:dyDescent="0.3">
      <c r="A21" s="34">
        <v>18</v>
      </c>
      <c r="B21" s="353" t="s">
        <v>29</v>
      </c>
      <c r="C21" s="370">
        <f>[1]STA_SP1_NO!$H$170</f>
        <v>69</v>
      </c>
      <c r="D21" s="54">
        <f>[2]STA_SP1_NO!$H$170</f>
        <v>355</v>
      </c>
      <c r="E21" s="370">
        <f>[3]STA_SP1_NO!$H$170</f>
        <v>118</v>
      </c>
      <c r="F21" s="54">
        <f>[4]STA_SP1_NO!$H$170</f>
        <v>188</v>
      </c>
      <c r="G21" s="62">
        <f>[5]STA_SP1_NO!$H$170</f>
        <v>192</v>
      </c>
      <c r="H21" s="371">
        <f>[6]STA_SP1_NO!$H$170</f>
        <v>77</v>
      </c>
      <c r="I21" s="62">
        <f>[7]STA_SP1_NO!$H$170</f>
        <v>29</v>
      </c>
      <c r="J21" s="54">
        <f>[8]STA_SP1_NO!$H$170</f>
        <v>93</v>
      </c>
      <c r="K21" s="62">
        <f>[9]STA_SP1_NO!$H$170</f>
        <v>37</v>
      </c>
      <c r="L21" s="54">
        <f>[10]STA_SP1_NO!$H$170</f>
        <v>148</v>
      </c>
      <c r="M21" s="374">
        <f>[11]STA_SP1_NO!$H$170</f>
        <v>0</v>
      </c>
      <c r="N21" s="369">
        <f t="shared" si="0"/>
        <v>1306</v>
      </c>
    </row>
    <row r="22" spans="1:14" ht="15.75" thickBot="1" x14ac:dyDescent="0.3">
      <c r="A22" s="36"/>
      <c r="B22" s="366" t="s">
        <v>37</v>
      </c>
      <c r="C22" s="359">
        <f t="shared" ref="C22:F22" si="1">SUM(C4:C21)</f>
        <v>3056</v>
      </c>
      <c r="D22" s="362">
        <f t="shared" si="1"/>
        <v>3392</v>
      </c>
      <c r="E22" s="361">
        <f>SUM(E4:E21)</f>
        <v>1534</v>
      </c>
      <c r="F22" s="362">
        <f t="shared" si="1"/>
        <v>2559</v>
      </c>
      <c r="G22" s="350">
        <f t="shared" ref="G22:M22" si="2">SUM(G4:G21)</f>
        <v>3466</v>
      </c>
      <c r="H22" s="362">
        <f t="shared" si="2"/>
        <v>4006</v>
      </c>
      <c r="I22" s="350">
        <f t="shared" si="2"/>
        <v>1431</v>
      </c>
      <c r="J22" s="363">
        <f t="shared" si="2"/>
        <v>1378</v>
      </c>
      <c r="K22" s="350">
        <f t="shared" si="2"/>
        <v>1087</v>
      </c>
      <c r="L22" s="362">
        <f t="shared" si="2"/>
        <v>3738</v>
      </c>
      <c r="M22" s="364">
        <f t="shared" si="2"/>
        <v>60</v>
      </c>
      <c r="N22" s="365">
        <f t="shared" si="0"/>
        <v>25707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"/>
      <c r="I23" s="341"/>
      <c r="J23" s="1"/>
      <c r="K23" s="341"/>
      <c r="L23" s="1"/>
      <c r="M23" s="341"/>
      <c r="N23" s="1"/>
    </row>
    <row r="24" spans="1:14" ht="15.75" thickBot="1" x14ac:dyDescent="0.3">
      <c r="A24" s="448" t="s">
        <v>31</v>
      </c>
      <c r="B24" s="449"/>
      <c r="C24" s="48">
        <f>C22/N22</f>
        <v>0.11887812658030887</v>
      </c>
      <c r="D24" s="47">
        <f>D22/N22</f>
        <v>0.131948496518458</v>
      </c>
      <c r="E24" s="48">
        <f>E22/N22</f>
        <v>5.9672462753335667E-2</v>
      </c>
      <c r="F24" s="47">
        <f>F22/N22</f>
        <v>9.9544871046796587E-2</v>
      </c>
      <c r="G24" s="48">
        <f>G22/N22</f>
        <v>0.13482708989769324</v>
      </c>
      <c r="H24" s="47">
        <f>H22/N22</f>
        <v>0.15583304158400435</v>
      </c>
      <c r="I24" s="48">
        <f>I22/N22</f>
        <v>5.5665771968724471E-2</v>
      </c>
      <c r="J24" s="47">
        <f>J22/N22</f>
        <v>5.3604076710623567E-2</v>
      </c>
      <c r="K24" s="48">
        <f>K22/N22</f>
        <v>4.2284202746333682E-2</v>
      </c>
      <c r="L24" s="47">
        <f>L22/N22</f>
        <v>0.14540786556190921</v>
      </c>
      <c r="M24" s="342">
        <f>M22/N22</f>
        <v>2.3339946318123466E-3</v>
      </c>
      <c r="N24" s="257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7" t="s">
        <v>0</v>
      </c>
      <c r="B26" s="429" t="s">
        <v>1</v>
      </c>
      <c r="C26" s="474" t="s">
        <v>90</v>
      </c>
      <c r="D26" s="475"/>
      <c r="E26" s="475"/>
      <c r="F26" s="475"/>
      <c r="G26" s="475"/>
      <c r="H26" s="476"/>
      <c r="I26" s="472" t="s">
        <v>3</v>
      </c>
      <c r="J26" s="1"/>
      <c r="K26" s="1"/>
      <c r="L26" s="1"/>
      <c r="M26" s="1"/>
      <c r="N26" s="1"/>
    </row>
    <row r="27" spans="1:14" ht="23.25" thickBot="1" x14ac:dyDescent="0.3">
      <c r="A27" s="428"/>
      <c r="B27" s="431"/>
      <c r="C27" s="168" t="s">
        <v>11</v>
      </c>
      <c r="D27" s="127" t="s">
        <v>32</v>
      </c>
      <c r="E27" s="168" t="s">
        <v>7</v>
      </c>
      <c r="F27" s="127" t="s">
        <v>9</v>
      </c>
      <c r="G27" s="166" t="s">
        <v>4</v>
      </c>
      <c r="H27" s="253" t="s">
        <v>95</v>
      </c>
      <c r="I27" s="484"/>
      <c r="J27" s="81"/>
      <c r="K27" s="458" t="s">
        <v>33</v>
      </c>
      <c r="L27" s="459"/>
      <c r="M27" s="232">
        <f>N22</f>
        <v>25707</v>
      </c>
      <c r="N27" s="233">
        <f>M27/M29</f>
        <v>0.97352874346739382</v>
      </c>
    </row>
    <row r="28" spans="1:14" ht="15.75" thickBot="1" x14ac:dyDescent="0.3">
      <c r="A28" s="22">
        <v>19</v>
      </c>
      <c r="B28" s="128" t="s">
        <v>34</v>
      </c>
      <c r="C28" s="165">
        <f>[12]STA_SP2_ZO!$G$51+[12]STA_SP2_ZO!$H$51</f>
        <v>351</v>
      </c>
      <c r="D28" s="50">
        <f>[13]STA_SP2_ZO!$G$51+[13]STA_SP2_ZO!$H$51</f>
        <v>256</v>
      </c>
      <c r="E28" s="165">
        <f>[14]STA_SP2_ZO!$G$51+[14]STA_SP2_ZO!$H$51</f>
        <v>25</v>
      </c>
      <c r="F28" s="50">
        <f>[15]STA_SP2_ZO!$G$51+[15]STA_SP2_ZO!$H$51</f>
        <v>45</v>
      </c>
      <c r="G28" s="115">
        <f>[16]STA_SP2_ZO!$G$51+[16]STA_SP2_ZO!$H$51</f>
        <v>22</v>
      </c>
      <c r="H28" s="50">
        <f>[17]STA_SP2_ZO!$G$51+[17]STA_SP2_ZO!$H$51</f>
        <v>0</v>
      </c>
      <c r="I28" s="244">
        <f>SUM(C28:H28)</f>
        <v>699</v>
      </c>
      <c r="J28" s="81"/>
      <c r="K28" s="450" t="s">
        <v>34</v>
      </c>
      <c r="L28" s="451"/>
      <c r="M28" s="234">
        <f>I28</f>
        <v>699</v>
      </c>
      <c r="N28" s="235">
        <f>M28/M29</f>
        <v>2.6471256532606225E-2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2" t="s">
        <v>3</v>
      </c>
      <c r="L29" s="453"/>
      <c r="M29" s="236">
        <f>M27+M28</f>
        <v>26406</v>
      </c>
      <c r="N29" s="237">
        <f>M29/M29</f>
        <v>1</v>
      </c>
    </row>
    <row r="30" spans="1:14" ht="15.75" thickBot="1" x14ac:dyDescent="0.3">
      <c r="A30" s="419" t="s">
        <v>35</v>
      </c>
      <c r="B30" s="420"/>
      <c r="C30" s="23">
        <f>C28/I28</f>
        <v>0.50214592274678116</v>
      </c>
      <c r="D30" s="82">
        <f>D28/I28</f>
        <v>0.36623748211731044</v>
      </c>
      <c r="E30" s="23">
        <f>E28/I28</f>
        <v>3.5765379113018601E-2</v>
      </c>
      <c r="F30" s="82">
        <f>F28/I28</f>
        <v>6.4377682403433473E-2</v>
      </c>
      <c r="G30" s="23">
        <f>G28/I28</f>
        <v>3.1473533619456366E-2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P4" sqref="P4"/>
    </sheetView>
  </sheetViews>
  <sheetFormatPr defaultRowHeight="15" x14ac:dyDescent="0.25"/>
  <cols>
    <col min="1" max="1" width="4.7109375" customWidth="1"/>
    <col min="2" max="2" width="27.85546875" customWidth="1"/>
    <col min="8" max="8" width="9.85546875" customWidth="1"/>
    <col min="11" max="11" width="9.140625" customWidth="1"/>
  </cols>
  <sheetData>
    <row r="1" spans="1:14" ht="27.75" customHeight="1" thickBot="1" x14ac:dyDescent="0.3">
      <c r="A1" s="26"/>
      <c r="B1" s="26"/>
      <c r="C1" s="460" t="s">
        <v>102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155" t="s">
        <v>36</v>
      </c>
    </row>
    <row r="2" spans="1:14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467" t="s">
        <v>3</v>
      </c>
    </row>
    <row r="3" spans="1:14" ht="15.75" thickBot="1" x14ac:dyDescent="0.3">
      <c r="A3" s="464"/>
      <c r="B3" s="481"/>
      <c r="C3" s="354" t="s">
        <v>69</v>
      </c>
      <c r="D3" s="375" t="s">
        <v>4</v>
      </c>
      <c r="E3" s="357" t="s">
        <v>5</v>
      </c>
      <c r="F3" s="307" t="s">
        <v>6</v>
      </c>
      <c r="G3" s="367" t="s">
        <v>8</v>
      </c>
      <c r="H3" s="356" t="s">
        <v>94</v>
      </c>
      <c r="I3" s="357" t="s">
        <v>9</v>
      </c>
      <c r="J3" s="372" t="s">
        <v>38</v>
      </c>
      <c r="K3" s="358" t="s">
        <v>93</v>
      </c>
      <c r="L3" s="307" t="s">
        <v>11</v>
      </c>
      <c r="M3" s="373" t="s">
        <v>96</v>
      </c>
      <c r="N3" s="468"/>
    </row>
    <row r="4" spans="1:14" x14ac:dyDescent="0.25">
      <c r="A4" s="30">
        <v>1</v>
      </c>
      <c r="B4" s="351" t="s">
        <v>12</v>
      </c>
      <c r="C4" s="62">
        <f>[1]STA_SP1_NO!$I$10</f>
        <v>12455.62</v>
      </c>
      <c r="D4" s="368">
        <f>[2]STA_SP1_NO!$I$10</f>
        <v>19952.22</v>
      </c>
      <c r="E4" s="62">
        <f>[3]STA_SP1_NO!$I$10</f>
        <v>2451</v>
      </c>
      <c r="F4" s="54">
        <f>[4]STA_SP1_NO!$I$10</f>
        <v>4022.16</v>
      </c>
      <c r="G4" s="259">
        <f>[5]STA_SP1_NO!$I$10</f>
        <v>9630</v>
      </c>
      <c r="H4" s="371">
        <f>[6]STA_SP1_NO!$I$10</f>
        <v>2923.3</v>
      </c>
      <c r="I4" s="62">
        <f>[7]STA_SP1_NO!$I$10</f>
        <v>2561</v>
      </c>
      <c r="J4" s="54">
        <f>[8]STA_SP1_NO!$I$10</f>
        <v>1054</v>
      </c>
      <c r="K4" s="62">
        <f>[9]STA_SP1_NO!$I$10</f>
        <v>6832.87</v>
      </c>
      <c r="L4" s="54">
        <f>[10]STA_SP1_NO!$I$10</f>
        <v>11790</v>
      </c>
      <c r="M4" s="374">
        <f>[11]STA_SP1_NO!$I$10</f>
        <v>82</v>
      </c>
      <c r="N4" s="249">
        <f t="shared" ref="N4:N21" si="0">SUM(C4:M4)</f>
        <v>73754.170000000013</v>
      </c>
    </row>
    <row r="5" spans="1:14" x14ac:dyDescent="0.25">
      <c r="A5" s="32">
        <v>2</v>
      </c>
      <c r="B5" s="352" t="s">
        <v>13</v>
      </c>
      <c r="C5" s="62">
        <f>[1]STA_SP1_NO!$I$20</f>
        <v>3294.14</v>
      </c>
      <c r="D5" s="368">
        <f>[2]STA_SP1_NO!$I$20</f>
        <v>17515.71</v>
      </c>
      <c r="E5" s="62">
        <f>[3]STA_SP1_NO!$I$20</f>
        <v>1379</v>
      </c>
      <c r="F5" s="54">
        <f>[4]STA_SP1_NO!$I$20</f>
        <v>8377.0400000000009</v>
      </c>
      <c r="G5" s="259">
        <f>[5]STA_SP1_NO!$I$20</f>
        <v>16739</v>
      </c>
      <c r="H5" s="371">
        <f>[6]STA_SP1_NO!$I$20</f>
        <v>0</v>
      </c>
      <c r="I5" s="62">
        <f>[7]STA_SP1_NO!$I$20</f>
        <v>87</v>
      </c>
      <c r="J5" s="54">
        <f>[8]STA_SP1_NO!$I$20</f>
        <v>0</v>
      </c>
      <c r="K5" s="62">
        <f>[9]STA_SP1_NO!$I$20</f>
        <v>2221.96</v>
      </c>
      <c r="L5" s="54">
        <f>[10]STA_SP1_NO!$I$20</f>
        <v>18592</v>
      </c>
      <c r="M5" s="374">
        <f>[11]STA_SP1_NO!$I$20</f>
        <v>0</v>
      </c>
      <c r="N5" s="249">
        <f t="shared" si="0"/>
        <v>68205.850000000006</v>
      </c>
    </row>
    <row r="6" spans="1:14" x14ac:dyDescent="0.25">
      <c r="A6" s="32">
        <v>3</v>
      </c>
      <c r="B6" s="352" t="s">
        <v>14</v>
      </c>
      <c r="C6" s="62">
        <f>[1]STA_SP1_NO!$I$24</f>
        <v>38505.43</v>
      </c>
      <c r="D6" s="368">
        <f>[2]STA_SP1_NO!$I$24</f>
        <v>42905.15</v>
      </c>
      <c r="E6" s="62">
        <f>[3]STA_SP1_NO!$I$24</f>
        <v>20678</v>
      </c>
      <c r="F6" s="54">
        <f>[4]STA_SP1_NO!$I$24</f>
        <v>37866.57</v>
      </c>
      <c r="G6" s="259">
        <f>[5]STA_SP1_NO!$I$24</f>
        <v>31766</v>
      </c>
      <c r="H6" s="371">
        <f>[6]STA_SP1_NO!$I$24</f>
        <v>9702.67</v>
      </c>
      <c r="I6" s="62">
        <f>[7]STA_SP1_NO!$I$24</f>
        <v>7616</v>
      </c>
      <c r="J6" s="54">
        <f>[8]STA_SP1_NO!$I$24</f>
        <v>16216</v>
      </c>
      <c r="K6" s="62">
        <f>[9]STA_SP1_NO!$I$24</f>
        <v>32254.02</v>
      </c>
      <c r="L6" s="54">
        <f>[10]STA_SP1_NO!$I$24</f>
        <v>28507</v>
      </c>
      <c r="M6" s="374">
        <f>[11]STA_SP1_NO!$I$24</f>
        <v>430</v>
      </c>
      <c r="N6" s="249">
        <f t="shared" si="0"/>
        <v>266446.83999999997</v>
      </c>
    </row>
    <row r="7" spans="1:14" x14ac:dyDescent="0.25">
      <c r="A7" s="32">
        <v>4</v>
      </c>
      <c r="B7" s="352" t="s">
        <v>15</v>
      </c>
      <c r="C7" s="62">
        <f>[1]STA_SP1_NO!$I$27</f>
        <v>0</v>
      </c>
      <c r="D7" s="368">
        <f>[2]STA_SP1_NO!$I$27</f>
        <v>0</v>
      </c>
      <c r="E7" s="62">
        <f>[3]STA_SP1_NO!$I$27</f>
        <v>0</v>
      </c>
      <c r="F7" s="54">
        <f>[4]STA_SP1_NO!$I$27</f>
        <v>0</v>
      </c>
      <c r="G7" s="259">
        <f>[5]STA_SP1_NO!$I$27</f>
        <v>0</v>
      </c>
      <c r="H7" s="371">
        <f>[6]STA_SP1_NO!$I$27</f>
        <v>0</v>
      </c>
      <c r="I7" s="62">
        <f>[7]STA_SP1_NO!$I$27</f>
        <v>0</v>
      </c>
      <c r="J7" s="54">
        <f>[8]STA_SP1_NO!$I$27</f>
        <v>0</v>
      </c>
      <c r="K7" s="62">
        <f>[9]STA_SP1_NO!$I$27</f>
        <v>0</v>
      </c>
      <c r="L7" s="54">
        <f>[10]STA_SP1_NO!$I$27</f>
        <v>0</v>
      </c>
      <c r="M7" s="374">
        <f>[11]STA_SP1_NO!$I$27</f>
        <v>0</v>
      </c>
      <c r="N7" s="249">
        <f t="shared" si="0"/>
        <v>0</v>
      </c>
    </row>
    <row r="8" spans="1:14" x14ac:dyDescent="0.25">
      <c r="A8" s="32">
        <v>5</v>
      </c>
      <c r="B8" s="352" t="s">
        <v>16</v>
      </c>
      <c r="C8" s="62">
        <f>[1]STA_SP1_NO!$I$30</f>
        <v>0</v>
      </c>
      <c r="D8" s="368">
        <f>[2]STA_SP1_NO!$I$30</f>
        <v>487256.06</v>
      </c>
      <c r="E8" s="62">
        <f>[3]STA_SP1_NO!$I$30</f>
        <v>0</v>
      </c>
      <c r="F8" s="54">
        <f>[4]STA_SP1_NO!$I$30</f>
        <v>0</v>
      </c>
      <c r="G8" s="259">
        <f>[5]STA_SP1_NO!$I$30</f>
        <v>0</v>
      </c>
      <c r="H8" s="371">
        <f>[6]STA_SP1_NO!$I$30</f>
        <v>0</v>
      </c>
      <c r="I8" s="62">
        <f>[7]STA_SP1_NO!$I$30</f>
        <v>0</v>
      </c>
      <c r="J8" s="54">
        <f>[8]STA_SP1_NO!$I$30</f>
        <v>0</v>
      </c>
      <c r="K8" s="62">
        <f>[9]STA_SP1_NO!$I$30</f>
        <v>0</v>
      </c>
      <c r="L8" s="54">
        <f>[10]STA_SP1_NO!$I$30</f>
        <v>0</v>
      </c>
      <c r="M8" s="374">
        <f>[11]STA_SP1_NO!$I$30</f>
        <v>0</v>
      </c>
      <c r="N8" s="249">
        <f t="shared" si="0"/>
        <v>487256.06</v>
      </c>
    </row>
    <row r="9" spans="1:14" x14ac:dyDescent="0.25">
      <c r="A9" s="32">
        <v>6</v>
      </c>
      <c r="B9" s="352" t="s">
        <v>17</v>
      </c>
      <c r="C9" s="62">
        <f>[1]STA_SP1_NO!$I$33</f>
        <v>0</v>
      </c>
      <c r="D9" s="368">
        <f>[2]STA_SP1_NO!$I$33</f>
        <v>0</v>
      </c>
      <c r="E9" s="62">
        <f>[3]STA_SP1_NO!$I$33</f>
        <v>0</v>
      </c>
      <c r="F9" s="54">
        <f>[4]STA_SP1_NO!$I$33</f>
        <v>50</v>
      </c>
      <c r="G9" s="259">
        <f>[5]STA_SP1_NO!$I$33</f>
        <v>0</v>
      </c>
      <c r="H9" s="371">
        <f>[6]STA_SP1_NO!$I$33</f>
        <v>0</v>
      </c>
      <c r="I9" s="62">
        <f>[7]STA_SP1_NO!$I$33</f>
        <v>0</v>
      </c>
      <c r="J9" s="54">
        <f>[8]STA_SP1_NO!$I$33</f>
        <v>0</v>
      </c>
      <c r="K9" s="62">
        <f>[9]STA_SP1_NO!$I$33</f>
        <v>0</v>
      </c>
      <c r="L9" s="54">
        <f>[10]STA_SP1_NO!$I$33</f>
        <v>0</v>
      </c>
      <c r="M9" s="374">
        <f>[11]STA_SP1_NO!$I$33</f>
        <v>0</v>
      </c>
      <c r="N9" s="249">
        <f t="shared" si="0"/>
        <v>50</v>
      </c>
    </row>
    <row r="10" spans="1:14" x14ac:dyDescent="0.25">
      <c r="A10" s="32">
        <v>7</v>
      </c>
      <c r="B10" s="352" t="s">
        <v>18</v>
      </c>
      <c r="C10" s="62">
        <f>[1]STA_SP1_NO!$I$36</f>
        <v>740.69</v>
      </c>
      <c r="D10" s="368">
        <f>[2]STA_SP1_NO!$I$36</f>
        <v>253</v>
      </c>
      <c r="E10" s="62">
        <f>[3]STA_SP1_NO!$I$36</f>
        <v>0</v>
      </c>
      <c r="F10" s="54">
        <f>[4]STA_SP1_NO!$I$36</f>
        <v>0</v>
      </c>
      <c r="G10" s="259">
        <f>[5]STA_SP1_NO!$I$36</f>
        <v>0</v>
      </c>
      <c r="H10" s="371">
        <f>[6]STA_SP1_NO!$I$36</f>
        <v>0</v>
      </c>
      <c r="I10" s="62">
        <f>[7]STA_SP1_NO!$I$36</f>
        <v>0</v>
      </c>
      <c r="J10" s="54">
        <f>[8]STA_SP1_NO!$I$36</f>
        <v>0</v>
      </c>
      <c r="K10" s="62">
        <f>[9]STA_SP1_NO!$I$36</f>
        <v>0</v>
      </c>
      <c r="L10" s="54">
        <f>[10]STA_SP1_NO!$I$36</f>
        <v>0</v>
      </c>
      <c r="M10" s="374">
        <f>[11]STA_SP1_NO!$I$36</f>
        <v>0</v>
      </c>
      <c r="N10" s="249">
        <f t="shared" si="0"/>
        <v>993.69</v>
      </c>
    </row>
    <row r="11" spans="1:14" x14ac:dyDescent="0.25">
      <c r="A11" s="32">
        <v>8</v>
      </c>
      <c r="B11" s="352" t="s">
        <v>19</v>
      </c>
      <c r="C11" s="62">
        <f>[1]STA_SP1_NO!$I$40</f>
        <v>31357.7</v>
      </c>
      <c r="D11" s="368">
        <f>[2]STA_SP1_NO!$I$40</f>
        <v>19825.89</v>
      </c>
      <c r="E11" s="62">
        <f>[3]STA_SP1_NO!$I$40</f>
        <v>832</v>
      </c>
      <c r="F11" s="54">
        <f>[4]STA_SP1_NO!$I$40</f>
        <v>87123.95</v>
      </c>
      <c r="G11" s="259">
        <f>[5]STA_SP1_NO!$I$40</f>
        <v>35593</v>
      </c>
      <c r="H11" s="371">
        <f>[6]STA_SP1_NO!$I$40</f>
        <v>882.31</v>
      </c>
      <c r="I11" s="62">
        <f>[7]STA_SP1_NO!$I$40</f>
        <v>13584</v>
      </c>
      <c r="J11" s="54">
        <f>[8]STA_SP1_NO!$I$40</f>
        <v>5844</v>
      </c>
      <c r="K11" s="62">
        <f>[9]STA_SP1_NO!$I$40</f>
        <v>7719.36</v>
      </c>
      <c r="L11" s="54">
        <f>[10]STA_SP1_NO!$I$40</f>
        <v>37822</v>
      </c>
      <c r="M11" s="374">
        <f>[11]STA_SP1_NO!$I$40</f>
        <v>0</v>
      </c>
      <c r="N11" s="249">
        <f t="shared" si="0"/>
        <v>240584.20999999996</v>
      </c>
    </row>
    <row r="12" spans="1:14" x14ac:dyDescent="0.25">
      <c r="A12" s="32">
        <v>9</v>
      </c>
      <c r="B12" s="352" t="s">
        <v>20</v>
      </c>
      <c r="C12" s="62">
        <f>[1]STA_SP1_NO!$I$56</f>
        <v>215943.81</v>
      </c>
      <c r="D12" s="368">
        <f>[2]STA_SP1_NO!$I$56</f>
        <v>10752.91</v>
      </c>
      <c r="E12" s="62">
        <f>[3]STA_SP1_NO!$I$56</f>
        <v>11998</v>
      </c>
      <c r="F12" s="54">
        <f>[4]STA_SP1_NO!$I$56</f>
        <v>13488.04</v>
      </c>
      <c r="G12" s="259">
        <f>[5]STA_SP1_NO!$I$56</f>
        <v>3432</v>
      </c>
      <c r="H12" s="371">
        <f>[6]STA_SP1_NO!$I$56</f>
        <v>504.25</v>
      </c>
      <c r="I12" s="62">
        <f>[7]STA_SP1_NO!$I$56</f>
        <v>49367</v>
      </c>
      <c r="J12" s="54">
        <f>[8]STA_SP1_NO!$I$56</f>
        <v>3528</v>
      </c>
      <c r="K12" s="62">
        <f>[9]STA_SP1_NO!$I$56</f>
        <v>3009.36</v>
      </c>
      <c r="L12" s="54">
        <f>[10]STA_SP1_NO!$I$56</f>
        <v>5861</v>
      </c>
      <c r="M12" s="374">
        <f>[11]STA_SP1_NO!$I$56</f>
        <v>0</v>
      </c>
      <c r="N12" s="249">
        <f t="shared" si="0"/>
        <v>317884.37</v>
      </c>
    </row>
    <row r="13" spans="1:14" x14ac:dyDescent="0.25">
      <c r="A13" s="32">
        <v>10</v>
      </c>
      <c r="B13" s="352" t="s">
        <v>21</v>
      </c>
      <c r="C13" s="62">
        <f>[1]STA_SP1_NO!$I$88</f>
        <v>327811.32</v>
      </c>
      <c r="D13" s="368">
        <f>[2]STA_SP1_NO!$I$88</f>
        <v>274141.58</v>
      </c>
      <c r="E13" s="62">
        <f>[3]STA_SP1_NO!$I$88</f>
        <v>156137</v>
      </c>
      <c r="F13" s="54">
        <f>[4]STA_SP1_NO!$I$88</f>
        <v>205341.78</v>
      </c>
      <c r="G13" s="259">
        <f>[5]STA_SP1_NO!$I$88</f>
        <v>257930</v>
      </c>
      <c r="H13" s="371">
        <f>[6]STA_SP1_NO!$I$88</f>
        <v>205281.43</v>
      </c>
      <c r="I13" s="62">
        <f>[7]STA_SP1_NO!$I$88</f>
        <v>121145</v>
      </c>
      <c r="J13" s="54">
        <f>[8]STA_SP1_NO!$I$88</f>
        <v>165315</v>
      </c>
      <c r="K13" s="62">
        <f>[9]STA_SP1_NO!$I$88</f>
        <v>192072.75</v>
      </c>
      <c r="L13" s="54">
        <f>[10]STA_SP1_NO!$I$88</f>
        <v>233808</v>
      </c>
      <c r="M13" s="374">
        <f>[11]STA_SP1_NO!$I$88</f>
        <v>2865.1</v>
      </c>
      <c r="N13" s="249">
        <f t="shared" si="0"/>
        <v>2141848.9600000004</v>
      </c>
    </row>
    <row r="14" spans="1:14" x14ac:dyDescent="0.25">
      <c r="A14" s="32">
        <v>11</v>
      </c>
      <c r="B14" s="352" t="s">
        <v>22</v>
      </c>
      <c r="C14" s="62">
        <f>[1]STA_SP1_NO!$I$124</f>
        <v>0</v>
      </c>
      <c r="D14" s="368">
        <f>[2]STA_SP1_NO!$I$124</f>
        <v>0</v>
      </c>
      <c r="E14" s="62">
        <f>[3]STA_SP1_NO!$I$124</f>
        <v>0</v>
      </c>
      <c r="F14" s="54">
        <f>[4]STA_SP1_NO!$I$124</f>
        <v>0</v>
      </c>
      <c r="G14" s="259">
        <f>[5]STA_SP1_NO!$I$124</f>
        <v>0</v>
      </c>
      <c r="H14" s="371">
        <f>[6]STA_SP1_NO!$I$124</f>
        <v>0</v>
      </c>
      <c r="I14" s="62">
        <f>[7]STA_SP1_NO!$I$124</f>
        <v>0</v>
      </c>
      <c r="J14" s="54">
        <f>[8]STA_SP1_NO!$I$124</f>
        <v>0</v>
      </c>
      <c r="K14" s="62">
        <f>[9]STA_SP1_NO!$I$124</f>
        <v>0</v>
      </c>
      <c r="L14" s="54">
        <f>[10]STA_SP1_NO!$I$124</f>
        <v>0</v>
      </c>
      <c r="M14" s="374">
        <f>[11]STA_SP1_NO!$I$124</f>
        <v>0</v>
      </c>
      <c r="N14" s="249">
        <f t="shared" si="0"/>
        <v>0</v>
      </c>
    </row>
    <row r="15" spans="1:14" x14ac:dyDescent="0.25">
      <c r="A15" s="32">
        <v>12</v>
      </c>
      <c r="B15" s="352" t="s">
        <v>23</v>
      </c>
      <c r="C15" s="62">
        <f>[1]STA_SP1_NO!$I$128</f>
        <v>0</v>
      </c>
      <c r="D15" s="368">
        <f>[2]STA_SP1_NO!$I$128</f>
        <v>6255</v>
      </c>
      <c r="E15" s="62">
        <f>[3]STA_SP1_NO!$I$128</f>
        <v>0</v>
      </c>
      <c r="F15" s="54">
        <f>[4]STA_SP1_NO!$I$128</f>
        <v>0</v>
      </c>
      <c r="G15" s="259">
        <f>[5]STA_SP1_NO!$I$128</f>
        <v>0</v>
      </c>
      <c r="H15" s="371">
        <f>[6]STA_SP1_NO!$I$128</f>
        <v>0</v>
      </c>
      <c r="I15" s="62">
        <f>[7]STA_SP1_NO!$I$128</f>
        <v>0</v>
      </c>
      <c r="J15" s="54">
        <f>[8]STA_SP1_NO!$I$128</f>
        <v>0</v>
      </c>
      <c r="K15" s="62">
        <f>[9]STA_SP1_NO!$I$128</f>
        <v>0</v>
      </c>
      <c r="L15" s="54">
        <f>[10]STA_SP1_NO!$I$128</f>
        <v>0</v>
      </c>
      <c r="M15" s="374">
        <f>[11]STA_SP1_NO!$I$128</f>
        <v>0</v>
      </c>
      <c r="N15" s="249">
        <f t="shared" si="0"/>
        <v>6255</v>
      </c>
    </row>
    <row r="16" spans="1:14" x14ac:dyDescent="0.25">
      <c r="A16" s="32">
        <v>13</v>
      </c>
      <c r="B16" s="352" t="s">
        <v>24</v>
      </c>
      <c r="C16" s="62">
        <f>[1]STA_SP1_NO!$I$132</f>
        <v>25410.85</v>
      </c>
      <c r="D16" s="368">
        <f>[2]STA_SP1_NO!$I$132</f>
        <v>5667.11</v>
      </c>
      <c r="E16" s="62">
        <f>[3]STA_SP1_NO!$I$132</f>
        <v>1015</v>
      </c>
      <c r="F16" s="54">
        <f>[4]STA_SP1_NO!$I$132</f>
        <v>1744.87</v>
      </c>
      <c r="G16" s="259">
        <f>[5]STA_SP1_NO!$I$132</f>
        <v>4085</v>
      </c>
      <c r="H16" s="371">
        <f>[6]STA_SP1_NO!$I$132</f>
        <v>206.8</v>
      </c>
      <c r="I16" s="62">
        <f>[7]STA_SP1_NO!$I$132</f>
        <v>12573</v>
      </c>
      <c r="J16" s="54">
        <f>[8]STA_SP1_NO!$I$132</f>
        <v>7446</v>
      </c>
      <c r="K16" s="62">
        <f>[9]STA_SP1_NO!$I$132</f>
        <v>1596.79</v>
      </c>
      <c r="L16" s="54">
        <f>[10]STA_SP1_NO!$I$132</f>
        <v>150</v>
      </c>
      <c r="M16" s="374">
        <f>[11]STA_SP1_NO!$I$132</f>
        <v>0</v>
      </c>
      <c r="N16" s="249">
        <f t="shared" si="0"/>
        <v>59895.420000000006</v>
      </c>
    </row>
    <row r="17" spans="1:14" x14ac:dyDescent="0.25">
      <c r="A17" s="32">
        <v>14</v>
      </c>
      <c r="B17" s="352" t="s">
        <v>25</v>
      </c>
      <c r="C17" s="62">
        <f>[1]STA_SP1_NO!$I$153</f>
        <v>0</v>
      </c>
      <c r="D17" s="368">
        <f>[2]STA_SP1_NO!$I$153</f>
        <v>893.8</v>
      </c>
      <c r="E17" s="62">
        <f>[3]STA_SP1_NO!$I$153</f>
        <v>0</v>
      </c>
      <c r="F17" s="54">
        <f>[4]STA_SP1_NO!$I$153</f>
        <v>0</v>
      </c>
      <c r="G17" s="259">
        <f>[5]STA_SP1_NO!$I$153</f>
        <v>0</v>
      </c>
      <c r="H17" s="371">
        <f>[6]STA_SP1_NO!$I$153</f>
        <v>0</v>
      </c>
      <c r="I17" s="62">
        <f>[7]STA_SP1_NO!$I$153</f>
        <v>0</v>
      </c>
      <c r="J17" s="54">
        <f>[8]STA_SP1_NO!$I$153</f>
        <v>0</v>
      </c>
      <c r="K17" s="62">
        <f>[9]STA_SP1_NO!$I$153</f>
        <v>50.38</v>
      </c>
      <c r="L17" s="54">
        <f>[10]STA_SP1_NO!$I$153</f>
        <v>0</v>
      </c>
      <c r="M17" s="374">
        <f>[11]STA_SP1_NO!$I$153</f>
        <v>0</v>
      </c>
      <c r="N17" s="249">
        <f t="shared" si="0"/>
        <v>944.18</v>
      </c>
    </row>
    <row r="18" spans="1:14" x14ac:dyDescent="0.25">
      <c r="A18" s="32">
        <v>15</v>
      </c>
      <c r="B18" s="352" t="s">
        <v>26</v>
      </c>
      <c r="C18" s="62">
        <f>[1]STA_SP1_NO!$I$158</f>
        <v>0</v>
      </c>
      <c r="D18" s="368">
        <f>[2]STA_SP1_NO!$I$158</f>
        <v>0</v>
      </c>
      <c r="E18" s="62">
        <f>[3]STA_SP1_NO!$I$158</f>
        <v>0</v>
      </c>
      <c r="F18" s="54">
        <f>[4]STA_SP1_NO!$I$158</f>
        <v>0</v>
      </c>
      <c r="G18" s="259">
        <f>[5]STA_SP1_NO!$I$158</f>
        <v>0</v>
      </c>
      <c r="H18" s="371">
        <f>[6]STA_SP1_NO!$I$158</f>
        <v>0</v>
      </c>
      <c r="I18" s="62">
        <f>[7]STA_SP1_NO!$I$158</f>
        <v>0</v>
      </c>
      <c r="J18" s="54">
        <f>[8]STA_SP1_NO!$I$158</f>
        <v>0</v>
      </c>
      <c r="K18" s="62">
        <f>[9]STA_SP1_NO!$I$158</f>
        <v>0</v>
      </c>
      <c r="L18" s="54">
        <f>[10]STA_SP1_NO!$I$158</f>
        <v>0</v>
      </c>
      <c r="M18" s="374">
        <f>[11]STA_SP1_NO!$I$158</f>
        <v>0</v>
      </c>
      <c r="N18" s="249">
        <f t="shared" si="0"/>
        <v>0</v>
      </c>
    </row>
    <row r="19" spans="1:14" x14ac:dyDescent="0.25">
      <c r="A19" s="32">
        <v>16</v>
      </c>
      <c r="B19" s="352" t="s">
        <v>27</v>
      </c>
      <c r="C19" s="62">
        <f>[1]STA_SP1_NO!$I$161</f>
        <v>400</v>
      </c>
      <c r="D19" s="368">
        <f>[2]STA_SP1_NO!$I$161</f>
        <v>0</v>
      </c>
      <c r="E19" s="62">
        <f>[3]STA_SP1_NO!$I$161</f>
        <v>0</v>
      </c>
      <c r="F19" s="54">
        <f>[4]STA_SP1_NO!$I$161</f>
        <v>1143.1099999999999</v>
      </c>
      <c r="G19" s="259">
        <f>[5]STA_SP1_NO!$I$161</f>
        <v>0</v>
      </c>
      <c r="H19" s="371">
        <f>[6]STA_SP1_NO!$I$161</f>
        <v>0</v>
      </c>
      <c r="I19" s="62">
        <f>[7]STA_SP1_NO!$I$161</f>
        <v>2713</v>
      </c>
      <c r="J19" s="54">
        <f>[8]STA_SP1_NO!$I$161</f>
        <v>0</v>
      </c>
      <c r="K19" s="62">
        <f>[9]STA_SP1_NO!$I$161</f>
        <v>0</v>
      </c>
      <c r="L19" s="54">
        <f>[10]STA_SP1_NO!$I$161</f>
        <v>0</v>
      </c>
      <c r="M19" s="374">
        <f>[11]STA_SP1_NO!$I$161</f>
        <v>0</v>
      </c>
      <c r="N19" s="249">
        <f t="shared" si="0"/>
        <v>4256.1099999999997</v>
      </c>
    </row>
    <row r="20" spans="1:14" x14ac:dyDescent="0.25">
      <c r="A20" s="32">
        <v>17</v>
      </c>
      <c r="B20" s="352" t="s">
        <v>28</v>
      </c>
      <c r="C20" s="62">
        <f>[1]STA_SP1_NO!$I$167</f>
        <v>0</v>
      </c>
      <c r="D20" s="368">
        <f>[2]STA_SP1_NO!$I$167</f>
        <v>0</v>
      </c>
      <c r="E20" s="62">
        <f>[3]STA_SP1_NO!$I$167</f>
        <v>0</v>
      </c>
      <c r="F20" s="54">
        <f>[4]STA_SP1_NO!$I$167</f>
        <v>0</v>
      </c>
      <c r="G20" s="259">
        <f>[5]STA_SP1_NO!$I$167</f>
        <v>0</v>
      </c>
      <c r="H20" s="371">
        <f>[6]STA_SP1_NO!$I$167</f>
        <v>0</v>
      </c>
      <c r="I20" s="62">
        <f>[7]STA_SP1_NO!$I$167</f>
        <v>0</v>
      </c>
      <c r="J20" s="54">
        <f>[8]STA_SP1_NO!$I$167</f>
        <v>0</v>
      </c>
      <c r="K20" s="62">
        <f>[9]STA_SP1_NO!$I$167</f>
        <v>0</v>
      </c>
      <c r="L20" s="54">
        <f>[10]STA_SP1_NO!$I$167</f>
        <v>0</v>
      </c>
      <c r="M20" s="374">
        <f>[11]STA_SP1_NO!$I$167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3" t="s">
        <v>29</v>
      </c>
      <c r="C21" s="62">
        <f>[1]STA_SP1_NO!$I$170</f>
        <v>1134.49</v>
      </c>
      <c r="D21" s="368">
        <f>[2]STA_SP1_NO!$I$170</f>
        <v>12775.68</v>
      </c>
      <c r="E21" s="62">
        <f>[3]STA_SP1_NO!$I$170</f>
        <v>3328</v>
      </c>
      <c r="F21" s="54">
        <f>[4]STA_SP1_NO!$I$170</f>
        <v>5394.24</v>
      </c>
      <c r="G21" s="259">
        <f>[5]STA_SP1_NO!$I$170</f>
        <v>8583</v>
      </c>
      <c r="H21" s="371">
        <f>[6]STA_SP1_NO!$I$170</f>
        <v>1196.56</v>
      </c>
      <c r="I21" s="62">
        <f>[7]STA_SP1_NO!$I$170</f>
        <v>1120</v>
      </c>
      <c r="J21" s="54">
        <f>[8]STA_SP1_NO!$I$170</f>
        <v>4144</v>
      </c>
      <c r="K21" s="62">
        <f>[9]STA_SP1_NO!$I$170</f>
        <v>1919.12</v>
      </c>
      <c r="L21" s="54">
        <f>[10]STA_SP1_NO!$I$170</f>
        <v>2637</v>
      </c>
      <c r="M21" s="374">
        <f>[11]STA_SP1_NO!$I$170</f>
        <v>0</v>
      </c>
      <c r="N21" s="249">
        <f t="shared" si="0"/>
        <v>42232.090000000004</v>
      </c>
    </row>
    <row r="22" spans="1:14" ht="15.75" thickBot="1" x14ac:dyDescent="0.3">
      <c r="A22" s="36"/>
      <c r="B22" s="366" t="s">
        <v>30</v>
      </c>
      <c r="C22" s="350">
        <f>SUM(C4:C21)</f>
        <v>657054.04999999993</v>
      </c>
      <c r="D22" s="360">
        <f>SUM(D4:D21)</f>
        <v>898194.1100000001</v>
      </c>
      <c r="E22" s="350">
        <f t="shared" ref="E22:F22" si="1">SUM(E4:E21)</f>
        <v>197818</v>
      </c>
      <c r="F22" s="362">
        <f t="shared" si="1"/>
        <v>364551.76</v>
      </c>
      <c r="G22" s="376">
        <f t="shared" ref="G22:N22" si="2">SUM(G4:G21)</f>
        <v>367758</v>
      </c>
      <c r="H22" s="362">
        <f t="shared" si="2"/>
        <v>220697.31999999998</v>
      </c>
      <c r="I22" s="350">
        <f t="shared" si="2"/>
        <v>210766</v>
      </c>
      <c r="J22" s="363">
        <f t="shared" si="2"/>
        <v>203547</v>
      </c>
      <c r="K22" s="350">
        <f t="shared" si="2"/>
        <v>247676.61000000002</v>
      </c>
      <c r="L22" s="362">
        <f t="shared" si="2"/>
        <v>339167</v>
      </c>
      <c r="M22" s="364">
        <f t="shared" si="2"/>
        <v>3377.1</v>
      </c>
      <c r="N22" s="250">
        <f t="shared" si="2"/>
        <v>3710606.95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ht="15.75" thickBot="1" x14ac:dyDescent="0.3">
      <c r="A24" s="448" t="s">
        <v>31</v>
      </c>
      <c r="B24" s="449"/>
      <c r="C24" s="48">
        <f>C22/N22</f>
        <v>0.17707454841046957</v>
      </c>
      <c r="D24" s="47">
        <f>D22/N22</f>
        <v>0.24206123744795985</v>
      </c>
      <c r="E24" s="48">
        <f>E22/N22</f>
        <v>5.3311493959229496E-2</v>
      </c>
      <c r="F24" s="47">
        <f>F22/N22</f>
        <v>9.8245857055811306E-2</v>
      </c>
      <c r="G24" s="48">
        <f>G22/N22</f>
        <v>9.9109931328080977E-2</v>
      </c>
      <c r="H24" s="47">
        <f>H22/N22</f>
        <v>5.9477417838609922E-2</v>
      </c>
      <c r="I24" s="48">
        <f>I22/N22</f>
        <v>5.6800950044035244E-2</v>
      </c>
      <c r="J24" s="47">
        <f>J22/N22</f>
        <v>5.4855446222888141E-2</v>
      </c>
      <c r="K24" s="48">
        <f>K22/N22</f>
        <v>6.6748274160376916E-2</v>
      </c>
      <c r="L24" s="47">
        <f>L22/N22</f>
        <v>9.1404722885025588E-2</v>
      </c>
      <c r="M24" s="342">
        <f>M22/N22</f>
        <v>9.1012064751293579E-4</v>
      </c>
      <c r="N24" s="257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7" t="s">
        <v>0</v>
      </c>
      <c r="B26" s="429" t="s">
        <v>1</v>
      </c>
      <c r="C26" s="488" t="s">
        <v>90</v>
      </c>
      <c r="D26" s="488"/>
      <c r="E26" s="488"/>
      <c r="F26" s="488"/>
      <c r="G26" s="488"/>
      <c r="H26" s="488"/>
      <c r="I26" s="472" t="s">
        <v>3</v>
      </c>
      <c r="J26" s="1"/>
      <c r="K26" s="1"/>
      <c r="L26" s="1"/>
      <c r="M26" s="1"/>
      <c r="N26" s="1"/>
    </row>
    <row r="27" spans="1:14" ht="15.75" thickBot="1" x14ac:dyDescent="0.3">
      <c r="A27" s="428"/>
      <c r="B27" s="431"/>
      <c r="C27" s="189" t="s">
        <v>11</v>
      </c>
      <c r="D27" s="215" t="s">
        <v>32</v>
      </c>
      <c r="E27" s="191" t="s">
        <v>7</v>
      </c>
      <c r="F27" s="127" t="s">
        <v>9</v>
      </c>
      <c r="G27" s="166" t="s">
        <v>4</v>
      </c>
      <c r="H27" s="211" t="s">
        <v>95</v>
      </c>
      <c r="I27" s="484"/>
      <c r="J27" s="81"/>
      <c r="K27" s="415" t="s">
        <v>33</v>
      </c>
      <c r="L27" s="416"/>
      <c r="M27" s="232">
        <f>N22</f>
        <v>3710606.95</v>
      </c>
      <c r="N27" s="233">
        <f>M27/M29</f>
        <v>0.978906756892157</v>
      </c>
    </row>
    <row r="28" spans="1:14" ht="15.75" thickBot="1" x14ac:dyDescent="0.3">
      <c r="A28" s="22">
        <v>19</v>
      </c>
      <c r="B28" s="128" t="s">
        <v>34</v>
      </c>
      <c r="C28" s="193">
        <f>[12]STA_SP4_ZO!$G$51</f>
        <v>25014</v>
      </c>
      <c r="D28" s="192">
        <f>[13]STA_SP4_ZO!$G$51</f>
        <v>40058</v>
      </c>
      <c r="E28" s="194">
        <f>[14]STA_SP4_ZO!$G$51</f>
        <v>5647.71</v>
      </c>
      <c r="F28" s="50">
        <f>[15]STA_SP4_ZO!$G$51</f>
        <v>6099</v>
      </c>
      <c r="G28" s="115">
        <f>[16]STA_SP4_ZO!$G$51</f>
        <v>3136.54</v>
      </c>
      <c r="H28" s="50">
        <f>[17]STA_SP4_ZO!$G$51</f>
        <v>0</v>
      </c>
      <c r="I28" s="244">
        <f>SUM(C28:H28)</f>
        <v>79955.25</v>
      </c>
      <c r="J28" s="81"/>
      <c r="K28" s="415" t="s">
        <v>34</v>
      </c>
      <c r="L28" s="416"/>
      <c r="M28" s="255">
        <f>I28</f>
        <v>79955.25</v>
      </c>
      <c r="N28" s="235">
        <f>M28/M29</f>
        <v>2.1093243107842947E-2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5" t="s">
        <v>3</v>
      </c>
      <c r="L29" s="416"/>
      <c r="M29" s="256">
        <f>M27+M28</f>
        <v>3790562.2</v>
      </c>
      <c r="N29" s="237">
        <f>M29/M29</f>
        <v>1</v>
      </c>
    </row>
    <row r="30" spans="1:14" ht="15.75" thickBot="1" x14ac:dyDescent="0.3">
      <c r="A30" s="419" t="s">
        <v>35</v>
      </c>
      <c r="B30" s="420"/>
      <c r="C30" s="23">
        <f>C28/I28</f>
        <v>0.31285000046901235</v>
      </c>
      <c r="D30" s="82">
        <f>D28/I28</f>
        <v>0.50100524981161332</v>
      </c>
      <c r="E30" s="23">
        <f>E28/I28</f>
        <v>7.0635886949262247E-2</v>
      </c>
      <c r="F30" s="82">
        <f>F28/I28</f>
        <v>7.6280169219657246E-2</v>
      </c>
      <c r="G30" s="23">
        <f>G28/I28</f>
        <v>3.9228693550454788E-2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K1"/>
    <mergeCell ref="A2:A3"/>
    <mergeCell ref="B2:B3"/>
    <mergeCell ref="C2:M2"/>
  </mergeCells>
  <pageMargins left="0.25" right="0.25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Q16" sqref="Q16"/>
    </sheetView>
  </sheetViews>
  <sheetFormatPr defaultRowHeight="15" x14ac:dyDescent="0.25"/>
  <cols>
    <col min="1" max="1" width="6.42578125" customWidth="1"/>
    <col min="2" max="2" width="25.5703125" customWidth="1"/>
    <col min="8" max="8" width="10" customWidth="1"/>
  </cols>
  <sheetData>
    <row r="1" spans="1:14" ht="28.5" customHeight="1" thickBot="1" x14ac:dyDescent="0.3">
      <c r="A1" s="489" t="s">
        <v>103</v>
      </c>
      <c r="B1" s="489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155" t="s">
        <v>36</v>
      </c>
    </row>
    <row r="2" spans="1:14" ht="15.75" thickBot="1" x14ac:dyDescent="0.3">
      <c r="A2" s="463" t="s">
        <v>0</v>
      </c>
      <c r="B2" s="465" t="s">
        <v>1</v>
      </c>
      <c r="C2" s="377" t="s">
        <v>2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467" t="s">
        <v>3</v>
      </c>
    </row>
    <row r="3" spans="1:14" ht="21" customHeight="1" thickBot="1" x14ac:dyDescent="0.3">
      <c r="A3" s="464"/>
      <c r="B3" s="466"/>
      <c r="C3" s="66" t="s">
        <v>69</v>
      </c>
      <c r="D3" s="29" t="s">
        <v>4</v>
      </c>
      <c r="E3" s="28" t="s">
        <v>5</v>
      </c>
      <c r="F3" s="27" t="s">
        <v>6</v>
      </c>
      <c r="G3" s="335" t="s">
        <v>8</v>
      </c>
      <c r="H3" s="167" t="s">
        <v>94</v>
      </c>
      <c r="I3" s="335" t="s">
        <v>9</v>
      </c>
      <c r="J3" s="337" t="s">
        <v>38</v>
      </c>
      <c r="K3" s="21" t="s">
        <v>93</v>
      </c>
      <c r="L3" s="339" t="s">
        <v>11</v>
      </c>
      <c r="M3" s="28" t="s">
        <v>96</v>
      </c>
      <c r="N3" s="468"/>
    </row>
    <row r="4" spans="1:14" ht="15.75" thickBot="1" x14ac:dyDescent="0.3">
      <c r="A4" s="30">
        <v>1</v>
      </c>
      <c r="B4" s="31" t="s">
        <v>12</v>
      </c>
      <c r="C4" s="117">
        <f>[1]STA_SP5_NO!$G$10</f>
        <v>28880.29</v>
      </c>
      <c r="D4" s="68">
        <f>[2]STA_SP5_NO!$G$10</f>
        <v>22822.57</v>
      </c>
      <c r="E4" s="117">
        <f>[3]STA_SP5_NO!$G$10</f>
        <v>10294</v>
      </c>
      <c r="F4" s="118">
        <f>[4]STA_SP5_NO!$G$10</f>
        <v>11356.79</v>
      </c>
      <c r="G4" s="143">
        <f>[5]STA_SP5_NO!$G$10</f>
        <v>31398</v>
      </c>
      <c r="H4" s="126">
        <f>[6]STA_SP5_NO!$G$10</f>
        <v>4232</v>
      </c>
      <c r="I4" s="143">
        <f>[7]STA_SP5_NO!$G$10</f>
        <v>12087</v>
      </c>
      <c r="J4" s="126">
        <f>[8]STA_SP5_NO!$G$10</f>
        <v>14011.9</v>
      </c>
      <c r="K4" s="143">
        <f>[9]STA_SP5_NO!$G$10</f>
        <v>14338.22</v>
      </c>
      <c r="L4" s="379">
        <f>[10]STA_SP5_NO!$G$10</f>
        <v>30606</v>
      </c>
      <c r="M4" s="381">
        <f>[11]STA_SP5_NO!$G$10</f>
        <v>88.94</v>
      </c>
      <c r="N4" s="249">
        <f t="shared" ref="N4:N21" si="0">SUM(C4:M4)</f>
        <v>180115.71</v>
      </c>
    </row>
    <row r="5" spans="1:14" ht="15.75" thickBot="1" x14ac:dyDescent="0.3">
      <c r="A5" s="32">
        <v>2</v>
      </c>
      <c r="B5" s="33" t="s">
        <v>13</v>
      </c>
      <c r="C5" s="117">
        <f>[1]STA_SP5_NO!$G$11</f>
        <v>14486.2</v>
      </c>
      <c r="D5" s="68">
        <f>[2]STA_SP5_NO!$G$11</f>
        <v>7629.73</v>
      </c>
      <c r="E5" s="117">
        <f>[3]STA_SP5_NO!$G$11</f>
        <v>4168</v>
      </c>
      <c r="F5" s="118">
        <f>[4]STA_SP5_NO!$G$11</f>
        <v>12444.32</v>
      </c>
      <c r="G5" s="143">
        <f>[5]STA_SP5_NO!$G$11</f>
        <v>7692</v>
      </c>
      <c r="H5" s="126">
        <f>[6]STA_SP5_NO!$G$11</f>
        <v>0</v>
      </c>
      <c r="I5" s="143">
        <f>[7]STA_SP5_NO!$G$11</f>
        <v>5691</v>
      </c>
      <c r="J5" s="126">
        <f>[8]STA_SP5_NO!$G$11</f>
        <v>0</v>
      </c>
      <c r="K5" s="143">
        <f>[9]STA_SP5_NO!$G$11</f>
        <v>2593.4899999999998</v>
      </c>
      <c r="L5" s="379">
        <f>[10]STA_SP5_NO!$G$11</f>
        <v>9513</v>
      </c>
      <c r="M5" s="382">
        <f>[11]STA_SP5_NO!$G$11</f>
        <v>0</v>
      </c>
      <c r="N5" s="249">
        <f t="shared" si="0"/>
        <v>64217.74</v>
      </c>
    </row>
    <row r="6" spans="1:14" ht="15.75" thickBot="1" x14ac:dyDescent="0.3">
      <c r="A6" s="32">
        <v>3</v>
      </c>
      <c r="B6" s="33" t="s">
        <v>14</v>
      </c>
      <c r="C6" s="117">
        <f>[1]STA_SP5_NO!$G$12</f>
        <v>16905.23</v>
      </c>
      <c r="D6" s="68">
        <f>[2]STA_SP5_NO!$G$12</f>
        <v>8275.2999999999993</v>
      </c>
      <c r="E6" s="117">
        <f>[3]STA_SP5_NO!$G$12</f>
        <v>15324</v>
      </c>
      <c r="F6" s="118">
        <f>[4]STA_SP5_NO!$G$12</f>
        <v>26000.720000000001</v>
      </c>
      <c r="G6" s="143">
        <f>[5]STA_SP5_NO!$G$12</f>
        <v>15468</v>
      </c>
      <c r="H6" s="126">
        <f>[6]STA_SP5_NO!$G$12</f>
        <v>112.4</v>
      </c>
      <c r="I6" s="143">
        <f>[7]STA_SP5_NO!$G$12</f>
        <v>8140</v>
      </c>
      <c r="J6" s="126">
        <f>[8]STA_SP5_NO!$G$12</f>
        <v>12313.78</v>
      </c>
      <c r="K6" s="143">
        <f>[9]STA_SP5_NO!$G$12</f>
        <v>23377.87</v>
      </c>
      <c r="L6" s="379">
        <f>[10]STA_SP5_NO!$G$12</f>
        <v>8833</v>
      </c>
      <c r="M6" s="381">
        <f>[11]STA_SP5_NO!$G$12</f>
        <v>2175.96</v>
      </c>
      <c r="N6" s="249">
        <f t="shared" si="0"/>
        <v>136926.25999999998</v>
      </c>
    </row>
    <row r="7" spans="1:14" ht="15.75" thickBot="1" x14ac:dyDescent="0.3">
      <c r="A7" s="32">
        <v>4</v>
      </c>
      <c r="B7" s="33" t="s">
        <v>15</v>
      </c>
      <c r="C7" s="117">
        <f>[1]STA_SP5_NO!$G$13</f>
        <v>0</v>
      </c>
      <c r="D7" s="68">
        <f>[2]STA_SP5_NO!$G$13</f>
        <v>0</v>
      </c>
      <c r="E7" s="117">
        <f>[3]STA_SP5_NO!$G$13</f>
        <v>0</v>
      </c>
      <c r="F7" s="118">
        <f>[4]STA_SP5_NO!$G$13</f>
        <v>0</v>
      </c>
      <c r="G7" s="143">
        <f>[5]STA_SP5_NO!$G$13</f>
        <v>0</v>
      </c>
      <c r="H7" s="126">
        <f>[6]STA_SP5_NO!$G$13</f>
        <v>0</v>
      </c>
      <c r="I7" s="143">
        <f>[7]STA_SP5_NO!$G$13</f>
        <v>0</v>
      </c>
      <c r="J7" s="126">
        <f>[8]STA_SP5_NO!$G$13</f>
        <v>0</v>
      </c>
      <c r="K7" s="143">
        <f>[9]STA_SP5_NO!$G$13</f>
        <v>0</v>
      </c>
      <c r="L7" s="379">
        <f>[10]STA_SP5_NO!$G$13</f>
        <v>0</v>
      </c>
      <c r="M7" s="383">
        <f>[11]STA_SP5_NO!$G$13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16</v>
      </c>
      <c r="C8" s="117">
        <f>[1]STA_SP5_NO!$G$14</f>
        <v>0</v>
      </c>
      <c r="D8" s="68">
        <f>[2]STA_SP5_NO!$G$14</f>
        <v>0</v>
      </c>
      <c r="E8" s="117">
        <f>[3]STA_SP5_NO!$G$14</f>
        <v>0</v>
      </c>
      <c r="F8" s="118">
        <f>[4]STA_SP5_NO!$G$14</f>
        <v>0</v>
      </c>
      <c r="G8" s="143">
        <f>[5]STA_SP5_NO!$G$14</f>
        <v>0</v>
      </c>
      <c r="H8" s="126">
        <f>[6]STA_SP5_NO!$G$14</f>
        <v>0</v>
      </c>
      <c r="I8" s="143">
        <f>[7]STA_SP5_NO!$G$14</f>
        <v>0</v>
      </c>
      <c r="J8" s="126">
        <f>[8]STA_SP5_NO!$G$14</f>
        <v>0</v>
      </c>
      <c r="K8" s="143">
        <f>[9]STA_SP5_NO!$G$14</f>
        <v>0</v>
      </c>
      <c r="L8" s="379">
        <f>[10]STA_SP5_NO!$G$14</f>
        <v>0</v>
      </c>
      <c r="M8" s="383">
        <f>[11]STA_SP5_NO!$G$14</f>
        <v>0</v>
      </c>
      <c r="N8" s="249">
        <f t="shared" si="0"/>
        <v>0</v>
      </c>
    </row>
    <row r="9" spans="1:14" ht="15.75" thickBot="1" x14ac:dyDescent="0.3">
      <c r="A9" s="32">
        <v>6</v>
      </c>
      <c r="B9" s="33" t="s">
        <v>17</v>
      </c>
      <c r="C9" s="117">
        <f>[1]STA_SP5_NO!$G$15</f>
        <v>0</v>
      </c>
      <c r="D9" s="68">
        <f>[2]STA_SP5_NO!$G$15</f>
        <v>0</v>
      </c>
      <c r="E9" s="117">
        <f>[3]STA_SP5_NO!$G$15</f>
        <v>0</v>
      </c>
      <c r="F9" s="118">
        <f>[4]STA_SP5_NO!$G$15</f>
        <v>0</v>
      </c>
      <c r="G9" s="143">
        <f>[5]STA_SP5_NO!$G$15</f>
        <v>0</v>
      </c>
      <c r="H9" s="126">
        <f>[6]STA_SP5_NO!$G$15</f>
        <v>0</v>
      </c>
      <c r="I9" s="143">
        <f>[7]STA_SP5_NO!$G$15</f>
        <v>0</v>
      </c>
      <c r="J9" s="126">
        <f>[8]STA_SP5_NO!$G$15</f>
        <v>0</v>
      </c>
      <c r="K9" s="143">
        <f>[9]STA_SP5_NO!$G$15</f>
        <v>0</v>
      </c>
      <c r="L9" s="379">
        <f>[10]STA_SP5_NO!$G$15</f>
        <v>0</v>
      </c>
      <c r="M9" s="383">
        <f>[11]STA_SP5_NO!$G$15</f>
        <v>0</v>
      </c>
      <c r="N9" s="249">
        <f t="shared" si="0"/>
        <v>0</v>
      </c>
    </row>
    <row r="10" spans="1:14" ht="15.75" thickBot="1" x14ac:dyDescent="0.3">
      <c r="A10" s="32">
        <v>7</v>
      </c>
      <c r="B10" s="33" t="s">
        <v>18</v>
      </c>
      <c r="C10" s="117">
        <f>[1]STA_SP5_NO!$G$16</f>
        <v>379.8</v>
      </c>
      <c r="D10" s="68">
        <f>[2]STA_SP5_NO!$G$16</f>
        <v>0</v>
      </c>
      <c r="E10" s="117">
        <f>[3]STA_SP5_NO!$G$16</f>
        <v>786</v>
      </c>
      <c r="F10" s="118">
        <f>[4]STA_SP5_NO!$G$16</f>
        <v>0</v>
      </c>
      <c r="G10" s="143">
        <f>[5]STA_SP5_NO!$G$16</f>
        <v>78</v>
      </c>
      <c r="H10" s="126">
        <f>[6]STA_SP5_NO!$G$16</f>
        <v>0</v>
      </c>
      <c r="I10" s="143">
        <f>[7]STA_SP5_NO!$G$16</f>
        <v>0</v>
      </c>
      <c r="J10" s="126">
        <f>[8]STA_SP5_NO!$G$16</f>
        <v>0</v>
      </c>
      <c r="K10" s="143">
        <f>[9]STA_SP5_NO!$G$16</f>
        <v>234</v>
      </c>
      <c r="L10" s="379">
        <f>[10]STA_SP5_NO!$G$16</f>
        <v>2155</v>
      </c>
      <c r="M10" s="383">
        <f>[11]STA_SP5_NO!$G$16</f>
        <v>0</v>
      </c>
      <c r="N10" s="249">
        <f t="shared" si="0"/>
        <v>3632.8</v>
      </c>
    </row>
    <row r="11" spans="1:14" ht="15.75" thickBot="1" x14ac:dyDescent="0.3">
      <c r="A11" s="32">
        <v>8</v>
      </c>
      <c r="B11" s="33" t="s">
        <v>19</v>
      </c>
      <c r="C11" s="117">
        <f>[1]STA_SP5_NO!$G$17</f>
        <v>4560.6099999999997</v>
      </c>
      <c r="D11" s="68">
        <f>[2]STA_SP5_NO!$G$17</f>
        <v>3469.7</v>
      </c>
      <c r="E11" s="117">
        <f>[3]STA_SP5_NO!$G$17</f>
        <v>637</v>
      </c>
      <c r="F11" s="118">
        <f>[4]STA_SP5_NO!$G$17</f>
        <v>2041.61</v>
      </c>
      <c r="G11" s="143">
        <f>[5]STA_SP5_NO!$G$17</f>
        <v>10581</v>
      </c>
      <c r="H11" s="126">
        <f>[6]STA_SP5_NO!$G$17</f>
        <v>47.16</v>
      </c>
      <c r="I11" s="143">
        <f>[7]STA_SP5_NO!$G$17</f>
        <v>2038</v>
      </c>
      <c r="J11" s="126">
        <f>[8]STA_SP5_NO!$G$17</f>
        <v>5848.73</v>
      </c>
      <c r="K11" s="143">
        <f>[9]STA_SP5_NO!$G$17</f>
        <v>4560.78</v>
      </c>
      <c r="L11" s="379">
        <f>[10]STA_SP5_NO!$G$17</f>
        <v>3517</v>
      </c>
      <c r="M11" s="381">
        <f>[11]STA_SP5_NO!$G$17</f>
        <v>207.71</v>
      </c>
      <c r="N11" s="249">
        <f t="shared" si="0"/>
        <v>37509.299999999996</v>
      </c>
    </row>
    <row r="12" spans="1:14" ht="15.75" thickBot="1" x14ac:dyDescent="0.3">
      <c r="A12" s="32">
        <v>9</v>
      </c>
      <c r="B12" s="33" t="s">
        <v>20</v>
      </c>
      <c r="C12" s="117">
        <f>[1]STA_SP5_NO!$G$20</f>
        <v>31406.560000000001</v>
      </c>
      <c r="D12" s="68">
        <f>[2]STA_SP5_NO!$G$20</f>
        <v>4516.63</v>
      </c>
      <c r="E12" s="117">
        <f>[3]STA_SP5_NO!$G$20</f>
        <v>24510</v>
      </c>
      <c r="F12" s="118">
        <f>[4]STA_SP5_NO!$G$20</f>
        <v>13130.1</v>
      </c>
      <c r="G12" s="143">
        <f>[5]STA_SP5_NO!$G$20</f>
        <v>2980</v>
      </c>
      <c r="H12" s="126">
        <f>[6]STA_SP5_NO!$G$20</f>
        <v>47.16</v>
      </c>
      <c r="I12" s="143">
        <f>[7]STA_SP5_NO!$G$20</f>
        <v>7405</v>
      </c>
      <c r="J12" s="126">
        <f>[8]STA_SP5_NO!$G$20</f>
        <v>3530.39</v>
      </c>
      <c r="K12" s="143">
        <f>[9]STA_SP5_NO!$G$20</f>
        <v>1822.39</v>
      </c>
      <c r="L12" s="379">
        <f>[10]STA_SP5_NO!$G$20</f>
        <v>2101</v>
      </c>
      <c r="M12" s="381">
        <f>[11]STA_SP5_NO!$G$20</f>
        <v>108.67</v>
      </c>
      <c r="N12" s="249">
        <f t="shared" si="0"/>
        <v>91557.900000000009</v>
      </c>
    </row>
    <row r="13" spans="1:14" ht="15.75" thickBot="1" x14ac:dyDescent="0.3">
      <c r="A13" s="32">
        <v>10</v>
      </c>
      <c r="B13" s="33" t="s">
        <v>21</v>
      </c>
      <c r="C13" s="117">
        <f>[1]STA_SP5_NO!$G$26</f>
        <v>313315</v>
      </c>
      <c r="D13" s="68">
        <f>[2]STA_SP5_NO!$G$26</f>
        <v>235861.63</v>
      </c>
      <c r="E13" s="117">
        <f>[3]STA_SP5_NO!$G$26</f>
        <v>219062</v>
      </c>
      <c r="F13" s="118">
        <f>[4]STA_SP5_NO!$G$26</f>
        <v>189302.32</v>
      </c>
      <c r="G13" s="143">
        <f>[5]STA_SP5_NO!$G$26</f>
        <v>196425</v>
      </c>
      <c r="H13" s="126">
        <f>[6]STA_SP5_NO!$G$26</f>
        <v>110137</v>
      </c>
      <c r="I13" s="143">
        <f>[7]STA_SP5_NO!$G$26</f>
        <v>269065</v>
      </c>
      <c r="J13" s="126">
        <f>[8]STA_SP5_NO!$G$26</f>
        <v>243270</v>
      </c>
      <c r="K13" s="143">
        <f>[9]STA_SP5_NO!$G$26</f>
        <v>193468.36</v>
      </c>
      <c r="L13" s="379">
        <f>[10]STA_SP5_NO!$G$26</f>
        <v>326595</v>
      </c>
      <c r="M13" s="381">
        <f>[11]STA_SP5_NO!$G$26</f>
        <v>21072.23</v>
      </c>
      <c r="N13" s="249">
        <f t="shared" si="0"/>
        <v>2317573.54</v>
      </c>
    </row>
    <row r="14" spans="1:14" ht="15.75" thickBot="1" x14ac:dyDescent="0.3">
      <c r="A14" s="32">
        <v>11</v>
      </c>
      <c r="B14" s="33" t="s">
        <v>22</v>
      </c>
      <c r="C14" s="117">
        <f>[1]STA_SP5_NO!$G$33</f>
        <v>0</v>
      </c>
      <c r="D14" s="68">
        <f>[2]STA_SP5_NO!$G$33</f>
        <v>0</v>
      </c>
      <c r="E14" s="117">
        <f>[3]STA_SP5_NO!$G$33</f>
        <v>0</v>
      </c>
      <c r="F14" s="118">
        <f>[4]STA_SP5_NO!$G$33</f>
        <v>0</v>
      </c>
      <c r="G14" s="143">
        <f>[5]STA_SP5_NO!$G$33</f>
        <v>0</v>
      </c>
      <c r="H14" s="126">
        <f>[6]STA_SP5_NO!$G$33</f>
        <v>0</v>
      </c>
      <c r="I14" s="143">
        <f>[7]STA_SP5_NO!$G$33</f>
        <v>0</v>
      </c>
      <c r="J14" s="126">
        <f>[8]STA_SP5_NO!$G$33</f>
        <v>0</v>
      </c>
      <c r="K14" s="143">
        <f>[9]STA_SP5_NO!$G$33</f>
        <v>0</v>
      </c>
      <c r="L14" s="379">
        <f>[10]STA_SP5_NO!$G$33</f>
        <v>0</v>
      </c>
      <c r="M14" s="383">
        <f>[11]STA_SP5_NO!$G$33</f>
        <v>0</v>
      </c>
      <c r="N14" s="249">
        <f t="shared" si="0"/>
        <v>0</v>
      </c>
    </row>
    <row r="15" spans="1:14" ht="15.75" thickBot="1" x14ac:dyDescent="0.3">
      <c r="A15" s="32">
        <v>12</v>
      </c>
      <c r="B15" s="33" t="s">
        <v>23</v>
      </c>
      <c r="C15" s="117">
        <f>[1]STA_SP5_NO!$G$34</f>
        <v>0</v>
      </c>
      <c r="D15" s="68">
        <f>[2]STA_SP5_NO!$G$34</f>
        <v>0</v>
      </c>
      <c r="E15" s="117">
        <f>[3]STA_SP5_NO!$G$34</f>
        <v>0</v>
      </c>
      <c r="F15" s="118">
        <f>[4]STA_SP5_NO!$G$34</f>
        <v>0</v>
      </c>
      <c r="G15" s="143">
        <f>[5]STA_SP5_NO!$G$34</f>
        <v>0</v>
      </c>
      <c r="H15" s="126">
        <f>[6]STA_SP5_NO!$G$34</f>
        <v>0</v>
      </c>
      <c r="I15" s="143">
        <f>[7]STA_SP5_NO!$G$34</f>
        <v>0</v>
      </c>
      <c r="J15" s="126">
        <f>[8]STA_SP5_NO!$G$34</f>
        <v>0</v>
      </c>
      <c r="K15" s="143">
        <f>[9]STA_SP5_NO!$G$34</f>
        <v>0</v>
      </c>
      <c r="L15" s="379">
        <f>[10]STA_SP5_NO!$G$34</f>
        <v>0</v>
      </c>
      <c r="M15" s="383">
        <f>[11]STA_SP5_NO!$G$34</f>
        <v>0</v>
      </c>
      <c r="N15" s="249">
        <f t="shared" si="0"/>
        <v>0</v>
      </c>
    </row>
    <row r="16" spans="1:14" ht="15.75" thickBot="1" x14ac:dyDescent="0.3">
      <c r="A16" s="32">
        <v>13</v>
      </c>
      <c r="B16" s="33" t="s">
        <v>24</v>
      </c>
      <c r="C16" s="117">
        <f>[1]STA_SP5_NO!$G$35</f>
        <v>6172.06</v>
      </c>
      <c r="D16" s="68">
        <f>[2]STA_SP5_NO!$G$35</f>
        <v>2151.36</v>
      </c>
      <c r="E16" s="117">
        <f>[3]STA_SP5_NO!$G$35</f>
        <v>1379</v>
      </c>
      <c r="F16" s="118">
        <f>[4]STA_SP5_NO!$G$35</f>
        <v>500</v>
      </c>
      <c r="G16" s="143">
        <f>[5]STA_SP5_NO!$G$35</f>
        <v>3979</v>
      </c>
      <c r="H16" s="126">
        <f>[6]STA_SP5_NO!$G$35</f>
        <v>54.1</v>
      </c>
      <c r="I16" s="143">
        <f>[7]STA_SP5_NO!$G$35</f>
        <v>5118</v>
      </c>
      <c r="J16" s="126">
        <f>[8]STA_SP5_NO!$G$35</f>
        <v>9885.07</v>
      </c>
      <c r="K16" s="143">
        <f>[9]STA_SP5_NO!$G$35</f>
        <v>1600</v>
      </c>
      <c r="L16" s="379">
        <f>[10]STA_SP5_NO!$G$35</f>
        <v>1064</v>
      </c>
      <c r="M16" s="381">
        <f>[11]STA_SP5_NO!$G$35</f>
        <v>17.96</v>
      </c>
      <c r="N16" s="249">
        <f t="shared" si="0"/>
        <v>31920.55</v>
      </c>
    </row>
    <row r="17" spans="1:14" ht="15.75" thickBot="1" x14ac:dyDescent="0.3">
      <c r="A17" s="32">
        <v>14</v>
      </c>
      <c r="B17" s="33" t="s">
        <v>25</v>
      </c>
      <c r="C17" s="117">
        <f>[1]STA_SP5_NO!$G$36</f>
        <v>0</v>
      </c>
      <c r="D17" s="68">
        <f>[2]STA_SP5_NO!$G$36</f>
        <v>0</v>
      </c>
      <c r="E17" s="117">
        <f>[3]STA_SP5_NO!$G$36</f>
        <v>0</v>
      </c>
      <c r="F17" s="118">
        <f>[4]STA_SP5_NO!$G$36</f>
        <v>0</v>
      </c>
      <c r="G17" s="143">
        <f>[5]STA_SP5_NO!$G$36</f>
        <v>0</v>
      </c>
      <c r="H17" s="126">
        <f>[6]STA_SP5_NO!$G$36</f>
        <v>0</v>
      </c>
      <c r="I17" s="143">
        <f>[7]STA_SP5_NO!$G$36</f>
        <v>0</v>
      </c>
      <c r="J17" s="126">
        <f>[8]STA_SP5_NO!$G$36</f>
        <v>0</v>
      </c>
      <c r="K17" s="143">
        <f>[9]STA_SP5_NO!$G$36</f>
        <v>0</v>
      </c>
      <c r="L17" s="379">
        <f>[10]STA_SP5_NO!$G$36</f>
        <v>0</v>
      </c>
      <c r="M17" s="383">
        <f>[11]STA_SP5_NO!$G$36</f>
        <v>0</v>
      </c>
      <c r="N17" s="249">
        <f t="shared" si="0"/>
        <v>0</v>
      </c>
    </row>
    <row r="18" spans="1:14" ht="15.75" thickBot="1" x14ac:dyDescent="0.3">
      <c r="A18" s="32">
        <v>15</v>
      </c>
      <c r="B18" s="33" t="s">
        <v>26</v>
      </c>
      <c r="C18" s="117">
        <f>[1]STA_SP5_NO!$G$37</f>
        <v>0</v>
      </c>
      <c r="D18" s="68">
        <f>[2]STA_SP5_NO!$G$37</f>
        <v>0</v>
      </c>
      <c r="E18" s="117">
        <f>[3]STA_SP5_NO!$G$37</f>
        <v>0</v>
      </c>
      <c r="F18" s="118">
        <f>[4]STA_SP5_NO!$G$37</f>
        <v>0</v>
      </c>
      <c r="G18" s="143">
        <f>[5]STA_SP5_NO!$G$37</f>
        <v>0</v>
      </c>
      <c r="H18" s="126">
        <f>[6]STA_SP5_NO!$G$37</f>
        <v>0</v>
      </c>
      <c r="I18" s="143">
        <f>[7]STA_SP5_NO!$G$37</f>
        <v>0</v>
      </c>
      <c r="J18" s="126">
        <f>[8]STA_SP5_NO!$G$37</f>
        <v>0</v>
      </c>
      <c r="K18" s="143">
        <f>[9]STA_SP5_NO!$G$37</f>
        <v>0</v>
      </c>
      <c r="L18" s="379">
        <f>[10]STA_SP5_NO!$G$37</f>
        <v>0</v>
      </c>
      <c r="M18" s="383">
        <f>[11]STA_SP5_NO!$G$37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17">
        <f>[1]STA_SP5_NO!$G$38</f>
        <v>0</v>
      </c>
      <c r="D19" s="68">
        <f>[2]STA_SP5_NO!$G$38</f>
        <v>0</v>
      </c>
      <c r="E19" s="117">
        <f>[3]STA_SP5_NO!$G$38</f>
        <v>98</v>
      </c>
      <c r="F19" s="118">
        <f>[4]STA_SP5_NO!$G$38</f>
        <v>0</v>
      </c>
      <c r="G19" s="143">
        <f>[5]STA_SP5_NO!$G$38</f>
        <v>0</v>
      </c>
      <c r="H19" s="126">
        <f>[6]STA_SP5_NO!$G$38</f>
        <v>0</v>
      </c>
      <c r="I19" s="143">
        <f>[7]STA_SP5_NO!$G$38</f>
        <v>0</v>
      </c>
      <c r="J19" s="126">
        <f>[8]STA_SP5_NO!$G$38</f>
        <v>0</v>
      </c>
      <c r="K19" s="143">
        <f>[9]STA_SP5_NO!$G$38</f>
        <v>0</v>
      </c>
      <c r="L19" s="379">
        <f>[10]STA_SP5_NO!$G$38</f>
        <v>0</v>
      </c>
      <c r="M19" s="383">
        <f>[11]STA_SP5_NO!$G$38</f>
        <v>0</v>
      </c>
      <c r="N19" s="249">
        <f t="shared" si="0"/>
        <v>98</v>
      </c>
    </row>
    <row r="20" spans="1:14" ht="15.75" thickBot="1" x14ac:dyDescent="0.3">
      <c r="A20" s="32">
        <v>17</v>
      </c>
      <c r="B20" s="33" t="s">
        <v>28</v>
      </c>
      <c r="C20" s="117">
        <f>[1]STA_SP5_NO!$G$39</f>
        <v>0</v>
      </c>
      <c r="D20" s="68">
        <f>[2]STA_SP5_NO!$G$39</f>
        <v>0</v>
      </c>
      <c r="E20" s="117">
        <f>[3]STA_SP5_NO!$G$39</f>
        <v>0</v>
      </c>
      <c r="F20" s="118">
        <f>[4]STA_SP5_NO!$G$39</f>
        <v>0</v>
      </c>
      <c r="G20" s="143">
        <f>[5]STA_SP5_NO!$G$39</f>
        <v>0</v>
      </c>
      <c r="H20" s="126">
        <f>[6]STA_SP5_NO!$G$39</f>
        <v>0</v>
      </c>
      <c r="I20" s="143">
        <f>[7]STA_SP5_NO!$G$39</f>
        <v>0</v>
      </c>
      <c r="J20" s="126">
        <f>[8]STA_SP5_NO!$G$39</f>
        <v>0</v>
      </c>
      <c r="K20" s="143">
        <f>[9]STA_SP5_NO!$G$39</f>
        <v>0</v>
      </c>
      <c r="L20" s="379">
        <f>[10]STA_SP5_NO!$G$39</f>
        <v>0</v>
      </c>
      <c r="M20" s="383">
        <f>[11]STA_SP5_NO!$G$39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17">
        <f>[1]STA_SP5_NO!$G$40</f>
        <v>1511.31</v>
      </c>
      <c r="D21" s="68">
        <f>[2]STA_SP5_NO!$G$40</f>
        <v>955.55</v>
      </c>
      <c r="E21" s="117">
        <f>[3]STA_SP5_NO!$G$40</f>
        <v>2140</v>
      </c>
      <c r="F21" s="118">
        <f>[4]STA_SP5_NO!$G$40</f>
        <v>3732.41</v>
      </c>
      <c r="G21" s="143">
        <f>[5]STA_SP5_NO!$G$40</f>
        <v>2671</v>
      </c>
      <c r="H21" s="126">
        <f>[6]STA_SP5_NO!$G$40</f>
        <v>810.6</v>
      </c>
      <c r="I21" s="143">
        <f>[7]STA_SP5_NO!$G$40</f>
        <v>699</v>
      </c>
      <c r="J21" s="126">
        <f>[8]STA_SP5_NO!$G$40</f>
        <v>4410.55</v>
      </c>
      <c r="K21" s="143">
        <f>[9]STA_SP5_NO!$G$40</f>
        <v>782</v>
      </c>
      <c r="L21" s="379">
        <f>[10]STA_SP5_NO!$G$40</f>
        <v>2491</v>
      </c>
      <c r="M21" s="383">
        <f>[11]STA_SP5_NO!$G$40</f>
        <v>123.17</v>
      </c>
      <c r="N21" s="249">
        <f t="shared" si="0"/>
        <v>20326.59</v>
      </c>
    </row>
    <row r="22" spans="1:14" ht="15.75" thickBot="1" x14ac:dyDescent="0.3">
      <c r="A22" s="36"/>
      <c r="B22" s="37" t="s">
        <v>30</v>
      </c>
      <c r="C22" s="41">
        <f t="shared" ref="C22:F22" si="1">SUM(C4:C21)</f>
        <v>417617.06</v>
      </c>
      <c r="D22" s="42">
        <f>SUM(D4:D21)</f>
        <v>285682.46999999997</v>
      </c>
      <c r="E22" s="41">
        <f t="shared" si="1"/>
        <v>278398</v>
      </c>
      <c r="F22" s="39">
        <f t="shared" si="1"/>
        <v>258508.27000000002</v>
      </c>
      <c r="G22" s="40">
        <f t="shared" ref="G22:N22" si="2">SUM(G4:G21)</f>
        <v>271272</v>
      </c>
      <c r="H22" s="39">
        <f t="shared" si="2"/>
        <v>115440.42000000001</v>
      </c>
      <c r="I22" s="40">
        <f t="shared" si="2"/>
        <v>310243</v>
      </c>
      <c r="J22" s="51">
        <f t="shared" si="2"/>
        <v>293270.42</v>
      </c>
      <c r="K22" s="40">
        <f t="shared" si="2"/>
        <v>242777.11</v>
      </c>
      <c r="L22" s="380">
        <f t="shared" si="2"/>
        <v>386875</v>
      </c>
      <c r="M22" s="384">
        <f t="shared" si="2"/>
        <v>23794.639999999996</v>
      </c>
      <c r="N22" s="250">
        <f t="shared" si="2"/>
        <v>2883878.3899999997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ht="15.75" thickBot="1" x14ac:dyDescent="0.3">
      <c r="A24" s="448" t="s">
        <v>31</v>
      </c>
      <c r="B24" s="449"/>
      <c r="C24" s="48">
        <f>C22/N22</f>
        <v>0.14481091208565144</v>
      </c>
      <c r="D24" s="47">
        <f>D22/N22</f>
        <v>9.9061899069884149E-2</v>
      </c>
      <c r="E24" s="48">
        <f>E22/N22</f>
        <v>9.6535970783428224E-2</v>
      </c>
      <c r="F24" s="47">
        <f>F22/N22</f>
        <v>8.9639102292382047E-2</v>
      </c>
      <c r="G24" s="48">
        <f>G22/N22</f>
        <v>9.406499280297323E-2</v>
      </c>
      <c r="H24" s="47">
        <f>H22/N22</f>
        <v>4.0029572814268367E-2</v>
      </c>
      <c r="I24" s="48">
        <f>I22/N22</f>
        <v>0.10757839202782751</v>
      </c>
      <c r="J24" s="47">
        <f>J22/N22</f>
        <v>0.10169306064254673</v>
      </c>
      <c r="K24" s="48">
        <f>K22/N22</f>
        <v>8.4184239821568904E-2</v>
      </c>
      <c r="L24" s="47">
        <f>L22/N22</f>
        <v>0.13415094108735981</v>
      </c>
      <c r="M24" s="342">
        <f>M22/N22</f>
        <v>8.2509165721096848E-3</v>
      </c>
      <c r="N24" s="251">
        <f>SUM(C24:M24)</f>
        <v>0.99999999999999989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7" t="s">
        <v>0</v>
      </c>
      <c r="B26" s="429" t="s">
        <v>1</v>
      </c>
      <c r="C26" s="488" t="s">
        <v>90</v>
      </c>
      <c r="D26" s="488"/>
      <c r="E26" s="488"/>
      <c r="F26" s="488"/>
      <c r="G26" s="488"/>
      <c r="H26" s="488"/>
      <c r="I26" s="472" t="s">
        <v>3</v>
      </c>
      <c r="J26" s="1"/>
      <c r="K26" s="1"/>
      <c r="L26" s="1"/>
      <c r="M26" s="1"/>
      <c r="N26" s="1"/>
    </row>
    <row r="27" spans="1:14" ht="15.75" thickBot="1" x14ac:dyDescent="0.3">
      <c r="A27" s="428"/>
      <c r="B27" s="431"/>
      <c r="C27" s="189" t="s">
        <v>11</v>
      </c>
      <c r="D27" s="215" t="s">
        <v>32</v>
      </c>
      <c r="E27" s="191" t="s">
        <v>7</v>
      </c>
      <c r="F27" s="127" t="s">
        <v>9</v>
      </c>
      <c r="G27" s="166" t="s">
        <v>4</v>
      </c>
      <c r="H27" s="211" t="s">
        <v>95</v>
      </c>
      <c r="I27" s="484"/>
      <c r="J27" s="81"/>
      <c r="K27" s="415" t="s">
        <v>33</v>
      </c>
      <c r="L27" s="416"/>
      <c r="M27" s="232">
        <f>N22</f>
        <v>2883878.3899999997</v>
      </c>
      <c r="N27" s="233">
        <f>M27/M29</f>
        <v>0.98949319438780814</v>
      </c>
    </row>
    <row r="28" spans="1:14" ht="15.75" thickBot="1" x14ac:dyDescent="0.3">
      <c r="A28" s="22">
        <v>19</v>
      </c>
      <c r="B28" s="128" t="s">
        <v>34</v>
      </c>
      <c r="C28" s="193">
        <f>[12]STA_SP4_ZO!$H$51</f>
        <v>4911</v>
      </c>
      <c r="D28" s="192">
        <f>[13]STA_SP4_ZO!$H$51</f>
        <v>10725</v>
      </c>
      <c r="E28" s="194">
        <f>[14]STA_SP4_ZO!$H$51</f>
        <v>12334.58</v>
      </c>
      <c r="F28" s="50">
        <f>[15]STA_SP4_ZO!$H$51</f>
        <v>1886</v>
      </c>
      <c r="G28" s="115">
        <f>[16]STA_SP4_ZO!$H$51</f>
        <v>563.5</v>
      </c>
      <c r="H28" s="50">
        <f>[17]STA_SP4_ZO!$H$51</f>
        <v>202.01</v>
      </c>
      <c r="I28" s="244">
        <f>SUM(C28:H28)</f>
        <v>30622.09</v>
      </c>
      <c r="J28" s="81"/>
      <c r="K28" s="415" t="s">
        <v>34</v>
      </c>
      <c r="L28" s="416"/>
      <c r="M28" s="255">
        <f>I28</f>
        <v>30622.09</v>
      </c>
      <c r="N28" s="235">
        <f>M28/M29</f>
        <v>1.0506805612191906E-2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5" t="s">
        <v>3</v>
      </c>
      <c r="L29" s="416"/>
      <c r="M29" s="256">
        <f>M27+M28</f>
        <v>2914500.4799999995</v>
      </c>
      <c r="N29" s="237">
        <f>M29/M29</f>
        <v>1</v>
      </c>
    </row>
    <row r="30" spans="1:14" ht="15.75" thickBot="1" x14ac:dyDescent="0.3">
      <c r="A30" s="419" t="s">
        <v>35</v>
      </c>
      <c r="B30" s="420"/>
      <c r="C30" s="23">
        <f>C28/I28</f>
        <v>0.16037442251655587</v>
      </c>
      <c r="D30" s="82">
        <f>D28/I28</f>
        <v>0.35023736132968064</v>
      </c>
      <c r="E30" s="23">
        <f>E28/I28</f>
        <v>0.40280007014544078</v>
      </c>
      <c r="F30" s="82">
        <f>F28/I28</f>
        <v>6.1589525731261321E-2</v>
      </c>
      <c r="G30" s="23">
        <f>G28/I28</f>
        <v>1.8401748541657346E-2</v>
      </c>
      <c r="H30" s="82">
        <f>H28/I28</f>
        <v>6.5968717354040821E-3</v>
      </c>
      <c r="I30" s="231">
        <f>I28/I28</f>
        <v>1</v>
      </c>
      <c r="J30" s="1"/>
      <c r="K30" s="1"/>
      <c r="L30" s="1"/>
      <c r="M30" s="1"/>
      <c r="N30" s="1"/>
    </row>
  </sheetData>
  <mergeCells count="13">
    <mergeCell ref="N2:N3"/>
    <mergeCell ref="A24:B24"/>
    <mergeCell ref="K29:L29"/>
    <mergeCell ref="A30:B30"/>
    <mergeCell ref="A1:M1"/>
    <mergeCell ref="A26:A27"/>
    <mergeCell ref="B26:B27"/>
    <mergeCell ref="K27:L27"/>
    <mergeCell ref="K28:L28"/>
    <mergeCell ref="A2:A3"/>
    <mergeCell ref="B2:B3"/>
    <mergeCell ref="I26:I27"/>
    <mergeCell ref="C26:H26"/>
  </mergeCells>
  <pageMargins left="0.7" right="0.7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S18" sqref="S18"/>
    </sheetView>
  </sheetViews>
  <sheetFormatPr defaultRowHeight="15" x14ac:dyDescent="0.25"/>
  <cols>
    <col min="1" max="1" width="3.85546875" customWidth="1"/>
    <col min="2" max="2" width="27.85546875" customWidth="1"/>
  </cols>
  <sheetData>
    <row r="1" spans="1:14" ht="24.75" customHeight="1" thickBot="1" x14ac:dyDescent="0.3">
      <c r="A1" s="26"/>
      <c r="B1" s="26"/>
      <c r="C1" s="460" t="s">
        <v>104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52"/>
    </row>
    <row r="2" spans="1:14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490" t="s">
        <v>3</v>
      </c>
    </row>
    <row r="3" spans="1:14" x14ac:dyDescent="0.25">
      <c r="A3" s="503"/>
      <c r="B3" s="504"/>
      <c r="C3" s="493" t="s">
        <v>69</v>
      </c>
      <c r="D3" s="495" t="s">
        <v>4</v>
      </c>
      <c r="E3" s="497" t="s">
        <v>5</v>
      </c>
      <c r="F3" s="465" t="s">
        <v>6</v>
      </c>
      <c r="G3" s="499" t="s">
        <v>8</v>
      </c>
      <c r="H3" s="465" t="s">
        <v>94</v>
      </c>
      <c r="I3" s="497" t="s">
        <v>9</v>
      </c>
      <c r="J3" s="507" t="s">
        <v>38</v>
      </c>
      <c r="K3" s="497" t="s">
        <v>93</v>
      </c>
      <c r="L3" s="465" t="s">
        <v>11</v>
      </c>
      <c r="M3" s="501" t="s">
        <v>96</v>
      </c>
      <c r="N3" s="491"/>
    </row>
    <row r="4" spans="1:14" ht="15.75" thickBot="1" x14ac:dyDescent="0.3">
      <c r="A4" s="498"/>
      <c r="B4" s="505"/>
      <c r="C4" s="494"/>
      <c r="D4" s="496"/>
      <c r="E4" s="498"/>
      <c r="F4" s="498"/>
      <c r="G4" s="500"/>
      <c r="H4" s="466"/>
      <c r="I4" s="506"/>
      <c r="J4" s="508"/>
      <c r="K4" s="506"/>
      <c r="L4" s="466"/>
      <c r="M4" s="502"/>
      <c r="N4" s="492"/>
    </row>
    <row r="5" spans="1:14" ht="15.75" thickBot="1" x14ac:dyDescent="0.3">
      <c r="A5" s="30">
        <v>1</v>
      </c>
      <c r="B5" s="31" t="s">
        <v>39</v>
      </c>
      <c r="C5" s="117">
        <f>[1]STA_SP2_NO!$C$11</f>
        <v>41352</v>
      </c>
      <c r="D5" s="68">
        <f>[2]STA_SP2_NO!$C$11</f>
        <v>21852</v>
      </c>
      <c r="E5" s="117">
        <f>[3]STA_SP2_NO!$C$11</f>
        <v>14284</v>
      </c>
      <c r="F5" s="118">
        <f>[4]STA_SP2_NO!$C$11</f>
        <v>23666</v>
      </c>
      <c r="G5" s="385">
        <f>[5]STA_SP2_NO!$C$11</f>
        <v>24629</v>
      </c>
      <c r="H5" s="126">
        <f>[6]STA_SP2_NO!$C$11</f>
        <v>32529</v>
      </c>
      <c r="I5" s="143">
        <f>[7]STA_SP2_NO!$C$11</f>
        <v>52928</v>
      </c>
      <c r="J5" s="126">
        <f>[8]STA_SP2_NO!$C$11</f>
        <v>28452</v>
      </c>
      <c r="K5" s="143">
        <f>[9]STA_SP2_NO!$C$11</f>
        <v>17057</v>
      </c>
      <c r="L5" s="379">
        <f>[10]STA_SP2_NO!$C$11</f>
        <v>35979</v>
      </c>
      <c r="M5" s="332">
        <f>[11]STA_SP2_NO!$C$11</f>
        <v>3239</v>
      </c>
      <c r="N5" s="249">
        <f t="shared" ref="N5:N17" si="0">SUM(C5:M5)</f>
        <v>295967</v>
      </c>
    </row>
    <row r="6" spans="1:14" ht="15.75" thickBot="1" x14ac:dyDescent="0.3">
      <c r="A6" s="32">
        <v>2</v>
      </c>
      <c r="B6" s="33" t="s">
        <v>40</v>
      </c>
      <c r="C6" s="117">
        <f>[1]STA_SP2_NO!$C$12</f>
        <v>4918</v>
      </c>
      <c r="D6" s="68">
        <f>[2]STA_SP2_NO!$C$12</f>
        <v>2648</v>
      </c>
      <c r="E6" s="117">
        <f>[3]STA_SP2_NO!$C$12</f>
        <v>1483</v>
      </c>
      <c r="F6" s="118">
        <f>[4]STA_SP2_NO!$C$12</f>
        <v>3553</v>
      </c>
      <c r="G6" s="385">
        <f>[5]STA_SP2_NO!$C$12</f>
        <v>2320</v>
      </c>
      <c r="H6" s="126">
        <f>[6]STA_SP2_NO!$C$12</f>
        <v>2768</v>
      </c>
      <c r="I6" s="143">
        <f>[7]STA_SP2_NO!$C$12</f>
        <v>6309</v>
      </c>
      <c r="J6" s="126">
        <f>[8]STA_SP2_NO!$C$12</f>
        <v>2992</v>
      </c>
      <c r="K6" s="143">
        <f>[9]STA_SP2_NO!$C$12</f>
        <v>2023</v>
      </c>
      <c r="L6" s="379">
        <f>[10]STA_SP2_NO!$C$12</f>
        <v>3236</v>
      </c>
      <c r="M6" s="332">
        <f>[11]STA_SP2_NO!$C$12</f>
        <v>299</v>
      </c>
      <c r="N6" s="249">
        <f t="shared" si="0"/>
        <v>32549</v>
      </c>
    </row>
    <row r="7" spans="1:14" ht="15.75" thickBot="1" x14ac:dyDescent="0.3">
      <c r="A7" s="32">
        <v>3</v>
      </c>
      <c r="B7" s="33" t="s">
        <v>41</v>
      </c>
      <c r="C7" s="117">
        <f>[1]STA_SP2_NO!$C$13</f>
        <v>422</v>
      </c>
      <c r="D7" s="68">
        <f>[2]STA_SP2_NO!$C$13</f>
        <v>178</v>
      </c>
      <c r="E7" s="117">
        <f>[3]STA_SP2_NO!$C$13</f>
        <v>93</v>
      </c>
      <c r="F7" s="118">
        <f>[4]STA_SP2_NO!$C$13</f>
        <v>191</v>
      </c>
      <c r="G7" s="385">
        <f>[5]STA_SP2_NO!$C$13</f>
        <v>427</v>
      </c>
      <c r="H7" s="126">
        <f>[6]STA_SP2_NO!$C$13</f>
        <v>129</v>
      </c>
      <c r="I7" s="143">
        <f>[7]STA_SP2_NO!$C$13</f>
        <v>290</v>
      </c>
      <c r="J7" s="126">
        <f>[8]STA_SP2_NO!$C$13</f>
        <v>231</v>
      </c>
      <c r="K7" s="143">
        <f>[9]STA_SP2_NO!$C$13</f>
        <v>116</v>
      </c>
      <c r="L7" s="379">
        <f>[10]STA_SP2_NO!$C$13</f>
        <v>102</v>
      </c>
      <c r="M7" s="332">
        <f>[11]STA_SP2_NO!$C$13</f>
        <v>7</v>
      </c>
      <c r="N7" s="249">
        <f t="shared" si="0"/>
        <v>2186</v>
      </c>
    </row>
    <row r="8" spans="1:14" ht="15.75" thickBot="1" x14ac:dyDescent="0.3">
      <c r="A8" s="32">
        <v>4</v>
      </c>
      <c r="B8" s="33" t="s">
        <v>42</v>
      </c>
      <c r="C8" s="117">
        <f>[1]STA_SP2_NO!$C$14</f>
        <v>803</v>
      </c>
      <c r="D8" s="68">
        <f>[2]STA_SP2_NO!$C$14</f>
        <v>462</v>
      </c>
      <c r="E8" s="117">
        <f>[3]STA_SP2_NO!$C$14</f>
        <v>110</v>
      </c>
      <c r="F8" s="118">
        <f>[4]STA_SP2_NO!$C$14</f>
        <v>317</v>
      </c>
      <c r="G8" s="385">
        <f>[5]STA_SP2_NO!$C$14</f>
        <v>259</v>
      </c>
      <c r="H8" s="126">
        <f>[6]STA_SP2_NO!$C$14</f>
        <v>382</v>
      </c>
      <c r="I8" s="143">
        <f>[7]STA_SP2_NO!$C$14</f>
        <v>613</v>
      </c>
      <c r="J8" s="126">
        <f>[8]STA_SP2_NO!$C$14</f>
        <v>504</v>
      </c>
      <c r="K8" s="143">
        <f>[9]STA_SP2_NO!$C$14</f>
        <v>256</v>
      </c>
      <c r="L8" s="379">
        <f>[10]STA_SP2_NO!$C$14</f>
        <v>620</v>
      </c>
      <c r="M8" s="332">
        <f>[11]STA_SP2_NO!$C$14</f>
        <v>59</v>
      </c>
      <c r="N8" s="249">
        <f t="shared" si="0"/>
        <v>4385</v>
      </c>
    </row>
    <row r="9" spans="1:14" ht="15.75" thickBot="1" x14ac:dyDescent="0.3">
      <c r="A9" s="32">
        <v>5</v>
      </c>
      <c r="B9" s="33" t="s">
        <v>43</v>
      </c>
      <c r="C9" s="117">
        <f>[1]STA_SP2_NO!$C$15</f>
        <v>61</v>
      </c>
      <c r="D9" s="68">
        <f>[2]STA_SP2_NO!$C$15</f>
        <v>24</v>
      </c>
      <c r="E9" s="117">
        <f>[3]STA_SP2_NO!$C$15</f>
        <v>58</v>
      </c>
      <c r="F9" s="118">
        <f>[4]STA_SP2_NO!$C$15</f>
        <v>36</v>
      </c>
      <c r="G9" s="385">
        <f>[5]STA_SP2_NO!$C$15</f>
        <v>19</v>
      </c>
      <c r="H9" s="126">
        <f>[6]STA_SP2_NO!$C$15</f>
        <v>125</v>
      </c>
      <c r="I9" s="143">
        <f>[7]STA_SP2_NO!$C$15</f>
        <v>44</v>
      </c>
      <c r="J9" s="126">
        <f>[8]STA_SP2_NO!$C$15</f>
        <v>161</v>
      </c>
      <c r="K9" s="143">
        <f>[9]STA_SP2_NO!$C$15</f>
        <v>13</v>
      </c>
      <c r="L9" s="379">
        <f>[10]STA_SP2_NO!$C$15</f>
        <v>23</v>
      </c>
      <c r="M9" s="332">
        <f>[11]STA_SP2_NO!$C$15</f>
        <v>1</v>
      </c>
      <c r="N9" s="249">
        <f t="shared" si="0"/>
        <v>565</v>
      </c>
    </row>
    <row r="10" spans="1:14" ht="15.75" thickBot="1" x14ac:dyDescent="0.3">
      <c r="A10" s="32">
        <v>6</v>
      </c>
      <c r="B10" s="33" t="s">
        <v>44</v>
      </c>
      <c r="C10" s="117">
        <f>[1]STA_SP2_NO!$C$16</f>
        <v>4281</v>
      </c>
      <c r="D10" s="68">
        <f>[2]STA_SP2_NO!$C$16</f>
        <v>2266</v>
      </c>
      <c r="E10" s="117">
        <f>[3]STA_SP2_NO!$C$16</f>
        <v>1084</v>
      </c>
      <c r="F10" s="118">
        <f>[4]STA_SP2_NO!$C$16</f>
        <v>3104</v>
      </c>
      <c r="G10" s="385">
        <f>[5]STA_SP2_NO!$C$16</f>
        <v>2195</v>
      </c>
      <c r="H10" s="126">
        <f>[6]STA_SP2_NO!$C$16</f>
        <v>3375</v>
      </c>
      <c r="I10" s="143">
        <f>[7]STA_SP2_NO!$C$16</f>
        <v>4471</v>
      </c>
      <c r="J10" s="126">
        <f>[8]STA_SP2_NO!$C$16</f>
        <v>2820</v>
      </c>
      <c r="K10" s="143">
        <f>[9]STA_SP2_NO!$C$16</f>
        <v>1373</v>
      </c>
      <c r="L10" s="379">
        <f>[10]STA_SP2_NO!$C$16</f>
        <v>4795</v>
      </c>
      <c r="M10" s="332">
        <f>[11]STA_SP2_NO!$C$16</f>
        <v>57</v>
      </c>
      <c r="N10" s="249">
        <f t="shared" si="0"/>
        <v>29821</v>
      </c>
    </row>
    <row r="11" spans="1:14" ht="15.75" thickBot="1" x14ac:dyDescent="0.3">
      <c r="A11" s="32">
        <v>7</v>
      </c>
      <c r="B11" s="33" t="s">
        <v>45</v>
      </c>
      <c r="C11" s="117">
        <f>[1]STA_SP2_NO!$C$17</f>
        <v>1186</v>
      </c>
      <c r="D11" s="68">
        <f>[2]STA_SP2_NO!$C$17</f>
        <v>877</v>
      </c>
      <c r="E11" s="117">
        <f>[3]STA_SP2_NO!$C$17</f>
        <v>348</v>
      </c>
      <c r="F11" s="118">
        <f>[4]STA_SP2_NO!$C$17</f>
        <v>875</v>
      </c>
      <c r="G11" s="385">
        <f>[5]STA_SP2_NO!$C$17</f>
        <v>472</v>
      </c>
      <c r="H11" s="126">
        <f>[6]STA_SP2_NO!$C$17</f>
        <v>696</v>
      </c>
      <c r="I11" s="143">
        <f>[7]STA_SP2_NO!$C$17</f>
        <v>1264</v>
      </c>
      <c r="J11" s="126">
        <f>[8]STA_SP2_NO!$C$17</f>
        <v>869</v>
      </c>
      <c r="K11" s="143">
        <f>[9]STA_SP2_NO!$C$17</f>
        <v>503</v>
      </c>
      <c r="L11" s="379">
        <f>[10]STA_SP2_NO!$C$17</f>
        <v>776</v>
      </c>
      <c r="M11" s="332">
        <f>[11]STA_SP2_NO!$C$17</f>
        <v>64</v>
      </c>
      <c r="N11" s="249">
        <f t="shared" si="0"/>
        <v>7930</v>
      </c>
    </row>
    <row r="12" spans="1:14" ht="15.75" thickBot="1" x14ac:dyDescent="0.3">
      <c r="A12" s="32">
        <v>8</v>
      </c>
      <c r="B12" s="33" t="s">
        <v>46</v>
      </c>
      <c r="C12" s="117">
        <f>[1]STA_SP2_NO!$C$18</f>
        <v>244</v>
      </c>
      <c r="D12" s="68">
        <f>[2]STA_SP2_NO!$C$18</f>
        <v>68</v>
      </c>
      <c r="E12" s="117">
        <f>[3]STA_SP2_NO!$C$18</f>
        <v>79</v>
      </c>
      <c r="F12" s="118">
        <f>[4]STA_SP2_NO!$C$18</f>
        <v>92</v>
      </c>
      <c r="G12" s="385">
        <f>[5]STA_SP2_NO!$C$18</f>
        <v>92</v>
      </c>
      <c r="H12" s="126">
        <f>[6]STA_SP2_NO!$C$18</f>
        <v>0</v>
      </c>
      <c r="I12" s="143">
        <f>[7]STA_SP2_NO!$C$18</f>
        <v>228</v>
      </c>
      <c r="J12" s="126">
        <f>[8]STA_SP2_NO!$C$18</f>
        <v>204</v>
      </c>
      <c r="K12" s="143">
        <f>[9]STA_SP2_NO!$C$18</f>
        <v>63</v>
      </c>
      <c r="L12" s="379">
        <f>[10]STA_SP2_NO!$C$18</f>
        <v>83</v>
      </c>
      <c r="M12" s="332">
        <f>[11]STA_SP2_NO!$C$18</f>
        <v>9</v>
      </c>
      <c r="N12" s="249">
        <f t="shared" si="0"/>
        <v>1162</v>
      </c>
    </row>
    <row r="13" spans="1:14" ht="23.25" thickBot="1" x14ac:dyDescent="0.3">
      <c r="A13" s="32">
        <v>9</v>
      </c>
      <c r="B13" s="53" t="s">
        <v>47</v>
      </c>
      <c r="C13" s="117">
        <f>[1]STA_SP2_NO!$C$19</f>
        <v>0</v>
      </c>
      <c r="D13" s="68">
        <f>[2]STA_SP2_NO!$C$19</f>
        <v>0</v>
      </c>
      <c r="E13" s="117">
        <f>[3]STA_SP2_NO!$C$19</f>
        <v>0</v>
      </c>
      <c r="F13" s="118">
        <f>[4]STA_SP2_NO!$C$19</f>
        <v>0</v>
      </c>
      <c r="G13" s="385">
        <f>[5]STA_SP2_NO!$C$19</f>
        <v>0</v>
      </c>
      <c r="H13" s="126">
        <f>[6]STA_SP2_NO!$C$19</f>
        <v>0</v>
      </c>
      <c r="I13" s="143">
        <f>[7]STA_SP2_NO!$C$19</f>
        <v>0</v>
      </c>
      <c r="J13" s="126">
        <f>[8]STA_SP2_NO!$C$19</f>
        <v>0</v>
      </c>
      <c r="K13" s="143">
        <f>[9]STA_SP2_NO!$C$19</f>
        <v>0</v>
      </c>
      <c r="L13" s="379">
        <f>[10]STA_SP2_NO!$C$19</f>
        <v>0</v>
      </c>
      <c r="M13" s="332">
        <f>[11]STA_SP2_NO!$C$19</f>
        <v>0</v>
      </c>
      <c r="N13" s="249">
        <f t="shared" si="0"/>
        <v>0</v>
      </c>
    </row>
    <row r="14" spans="1:14" ht="23.25" thickBot="1" x14ac:dyDescent="0.3">
      <c r="A14" s="32">
        <v>10</v>
      </c>
      <c r="B14" s="53" t="s">
        <v>48</v>
      </c>
      <c r="C14" s="62">
        <f>[1]STA_SP2_NO!$C$20</f>
        <v>0</v>
      </c>
      <c r="D14" s="68">
        <f>[2]STA_SP2_NO!$C$20</f>
        <v>0</v>
      </c>
      <c r="E14" s="117">
        <f>[3]STA_SP2_NO!$C$20</f>
        <v>0</v>
      </c>
      <c r="F14" s="118">
        <f>[4]STA_SP2_NO!$C$20</f>
        <v>0</v>
      </c>
      <c r="G14" s="385">
        <f>[5]STA_SP2_NO!$C$20</f>
        <v>0</v>
      </c>
      <c r="H14" s="126">
        <f>[6]STA_SP2_NO!$C$20</f>
        <v>0</v>
      </c>
      <c r="I14" s="143">
        <f>[7]STA_SP2_NO!$C$20</f>
        <v>0</v>
      </c>
      <c r="J14" s="126">
        <f>[8]STA_SP2_NO!$C$20</f>
        <v>0</v>
      </c>
      <c r="K14" s="143">
        <f>[9]STA_SP2_NO!$C$20</f>
        <v>0</v>
      </c>
      <c r="L14" s="379">
        <f>[10]STA_SP2_NO!$C$20</f>
        <v>0</v>
      </c>
      <c r="M14" s="332">
        <f>[11]STA_SP2_NO!$C$20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62">
        <f>[1]STA_SP2_NO!$C$21</f>
        <v>0</v>
      </c>
      <c r="D15" s="68">
        <f>[2]STA_SP2_NO!$C$21</f>
        <v>0</v>
      </c>
      <c r="E15" s="117">
        <f>[3]STA_SP2_NO!$C$21</f>
        <v>0</v>
      </c>
      <c r="F15" s="118">
        <f>[4]STA_SP2_NO!$C$21</f>
        <v>0</v>
      </c>
      <c r="G15" s="385">
        <f>[5]STA_SP2_NO!$C$21</f>
        <v>692</v>
      </c>
      <c r="H15" s="126">
        <f>[6]STA_SP2_NO!$C$21</f>
        <v>0</v>
      </c>
      <c r="I15" s="143">
        <f>[7]STA_SP2_NO!$C$21</f>
        <v>0</v>
      </c>
      <c r="J15" s="126">
        <f>[8]STA_SP2_NO!$C$21</f>
        <v>0</v>
      </c>
      <c r="K15" s="143">
        <f>[9]STA_SP2_NO!$C$21</f>
        <v>0</v>
      </c>
      <c r="L15" s="379">
        <f>[10]STA_SP2_NO!$C$21</f>
        <v>0</v>
      </c>
      <c r="M15" s="332">
        <f>[11]STA_SP2_NO!$C$21</f>
        <v>129</v>
      </c>
      <c r="N15" s="249">
        <f t="shared" si="0"/>
        <v>821</v>
      </c>
    </row>
    <row r="16" spans="1:14" ht="49.5" customHeight="1" thickBot="1" x14ac:dyDescent="0.3">
      <c r="A16" s="32">
        <v>12</v>
      </c>
      <c r="B16" s="53" t="s">
        <v>50</v>
      </c>
      <c r="C16" s="62">
        <f>[1]STA_SP2_NO!$C$22</f>
        <v>0</v>
      </c>
      <c r="D16" s="68">
        <f>[2]STA_SP2_NO!$C$22</f>
        <v>0</v>
      </c>
      <c r="E16" s="117">
        <f>[3]STA_SP2_NO!$C$22</f>
        <v>0</v>
      </c>
      <c r="F16" s="118">
        <f>[4]STA_SP2_NO!$C$22</f>
        <v>0</v>
      </c>
      <c r="G16" s="385">
        <f>[5]STA_SP2_NO!$C$22</f>
        <v>0</v>
      </c>
      <c r="H16" s="126">
        <f>[6]STA_SP2_NO!$C$22</f>
        <v>0</v>
      </c>
      <c r="I16" s="143">
        <f>[7]STA_SP2_NO!$C$22</f>
        <v>0</v>
      </c>
      <c r="J16" s="126">
        <f>[8]STA_SP2_NO!$C$22</f>
        <v>0</v>
      </c>
      <c r="K16" s="143">
        <f>[9]STA_SP2_NO!$C$22</f>
        <v>0</v>
      </c>
      <c r="L16" s="379">
        <f>[10]STA_SP2_NO!$C$22</f>
        <v>0</v>
      </c>
      <c r="M16" s="386">
        <f>[11]STA_SP2_NO!$C$22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62">
        <f>[1]STA_SP2_NO!$C$23</f>
        <v>38</v>
      </c>
      <c r="D17" s="68">
        <f>[2]STA_SP2_NO!$C$23</f>
        <v>0</v>
      </c>
      <c r="E17" s="117">
        <f>[3]STA_SP2_NO!$C$23</f>
        <v>0</v>
      </c>
      <c r="F17" s="118">
        <f>[4]STA_SP2_NO!$C$23</f>
        <v>0</v>
      </c>
      <c r="G17" s="385">
        <f>[5]STA_SP2_NO!$C$23</f>
        <v>16</v>
      </c>
      <c r="H17" s="126">
        <f>[6]STA_SP2_NO!$C$23</f>
        <v>0</v>
      </c>
      <c r="I17" s="143">
        <f>[7]STA_SP2_NO!$C$23</f>
        <v>0</v>
      </c>
      <c r="J17" s="126">
        <f>[8]STA_SP2_NO!$C$23</f>
        <v>0</v>
      </c>
      <c r="K17" s="143">
        <f>[9]STA_SP2_NO!$C$23</f>
        <v>0</v>
      </c>
      <c r="L17" s="379">
        <f>[10]STA_SP2_NO!$C$23</f>
        <v>1</v>
      </c>
      <c r="M17" s="386">
        <f>[11]STA_SP2_NO!$C$23</f>
        <v>0</v>
      </c>
      <c r="N17" s="249">
        <f t="shared" si="0"/>
        <v>55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53305</v>
      </c>
      <c r="D18" s="42">
        <f>SUM(D5:D17)</f>
        <v>28375</v>
      </c>
      <c r="E18" s="41">
        <f t="shared" si="1"/>
        <v>17539</v>
      </c>
      <c r="F18" s="39">
        <f t="shared" si="1"/>
        <v>31834</v>
      </c>
      <c r="G18" s="40">
        <f t="shared" ref="G18:N18" si="2">SUM(G5:G17)</f>
        <v>31121</v>
      </c>
      <c r="H18" s="39">
        <f t="shared" si="2"/>
        <v>40004</v>
      </c>
      <c r="I18" s="40">
        <f t="shared" si="2"/>
        <v>66147</v>
      </c>
      <c r="J18" s="39">
        <f t="shared" si="2"/>
        <v>36233</v>
      </c>
      <c r="K18" s="40">
        <f t="shared" si="2"/>
        <v>21404</v>
      </c>
      <c r="L18" s="380">
        <f t="shared" si="2"/>
        <v>45615</v>
      </c>
      <c r="M18" s="333">
        <f t="shared" si="2"/>
        <v>3864</v>
      </c>
      <c r="N18" s="250">
        <f t="shared" si="2"/>
        <v>375441</v>
      </c>
    </row>
    <row r="19" spans="1:14" ht="15.75" thickBot="1" x14ac:dyDescent="0.3">
      <c r="A19" s="1"/>
      <c r="B19" s="1"/>
      <c r="C19" s="1"/>
      <c r="D19" s="1"/>
      <c r="E19" s="1"/>
      <c r="F19" s="1"/>
      <c r="G19" s="341"/>
      <c r="H19" s="1"/>
      <c r="I19" s="341"/>
      <c r="J19" s="1"/>
      <c r="K19" s="341"/>
      <c r="L19" s="1"/>
      <c r="M19" s="341"/>
      <c r="N19" s="1"/>
    </row>
    <row r="20" spans="1:14" ht="15.75" thickBot="1" x14ac:dyDescent="0.3">
      <c r="A20" s="448" t="s">
        <v>53</v>
      </c>
      <c r="B20" s="449"/>
      <c r="C20" s="48">
        <f>C18/N18</f>
        <v>0.14197969854118223</v>
      </c>
      <c r="D20" s="47">
        <f>D18/N18</f>
        <v>7.5577787188932488E-2</v>
      </c>
      <c r="E20" s="48">
        <f>E18/N18</f>
        <v>4.6715728969398657E-2</v>
      </c>
      <c r="F20" s="47">
        <f>F18/N18</f>
        <v>8.4790952506518996E-2</v>
      </c>
      <c r="G20" s="48">
        <f>G18/N18</f>
        <v>8.289185251477596E-2</v>
      </c>
      <c r="H20" s="47">
        <f>H18/N18</f>
        <v>0.10655202814823102</v>
      </c>
      <c r="I20" s="48">
        <f>I18/N18</f>
        <v>0.1761848066673592</v>
      </c>
      <c r="J20" s="47">
        <f>J18/N18</f>
        <v>9.6507840113360027E-2</v>
      </c>
      <c r="K20" s="48">
        <f>K18/N18</f>
        <v>5.7010289233195094E-2</v>
      </c>
      <c r="L20" s="47">
        <f>L18/N18</f>
        <v>0.12149711938760019</v>
      </c>
      <c r="M20" s="342">
        <f>M18/N18</f>
        <v>1.0291896729446172E-2</v>
      </c>
      <c r="N20" s="251">
        <f>SUM(C20:M20)</f>
        <v>1</v>
      </c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S20" sqref="S20"/>
    </sheetView>
  </sheetViews>
  <sheetFormatPr defaultRowHeight="15" x14ac:dyDescent="0.25"/>
  <cols>
    <col min="1" max="1" width="4.42578125" customWidth="1"/>
    <col min="2" max="2" width="28.28515625" customWidth="1"/>
    <col min="3" max="3" width="9.140625" customWidth="1"/>
  </cols>
  <sheetData>
    <row r="1" spans="1:14" ht="26.25" customHeight="1" thickBot="1" x14ac:dyDescent="0.3">
      <c r="A1" s="120"/>
      <c r="B1" s="26"/>
      <c r="C1" s="460" t="s">
        <v>105</v>
      </c>
      <c r="D1" s="461"/>
      <c r="E1" s="461"/>
      <c r="F1" s="461"/>
      <c r="G1" s="461"/>
      <c r="H1" s="461"/>
      <c r="I1" s="461"/>
      <c r="J1" s="462"/>
      <c r="K1" s="462"/>
      <c r="L1" s="26"/>
      <c r="M1" s="26"/>
      <c r="N1" s="155" t="s">
        <v>52</v>
      </c>
    </row>
    <row r="2" spans="1:14" ht="15.75" thickBot="1" x14ac:dyDescent="0.3">
      <c r="A2" s="463" t="s">
        <v>0</v>
      </c>
      <c r="B2" s="465" t="s">
        <v>1</v>
      </c>
      <c r="C2" s="485" t="s">
        <v>2</v>
      </c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490" t="s">
        <v>3</v>
      </c>
    </row>
    <row r="3" spans="1:14" ht="12.75" customHeight="1" x14ac:dyDescent="0.25">
      <c r="A3" s="503"/>
      <c r="B3" s="504"/>
      <c r="C3" s="510" t="s">
        <v>69</v>
      </c>
      <c r="D3" s="504" t="s">
        <v>4</v>
      </c>
      <c r="E3" s="514" t="s">
        <v>5</v>
      </c>
      <c r="F3" s="504" t="s">
        <v>6</v>
      </c>
      <c r="G3" s="497" t="s">
        <v>8</v>
      </c>
      <c r="H3" s="465" t="s">
        <v>94</v>
      </c>
      <c r="I3" s="497" t="s">
        <v>9</v>
      </c>
      <c r="J3" s="521" t="s">
        <v>38</v>
      </c>
      <c r="K3" s="497" t="s">
        <v>93</v>
      </c>
      <c r="L3" s="465" t="s">
        <v>11</v>
      </c>
      <c r="M3" s="516" t="s">
        <v>96</v>
      </c>
      <c r="N3" s="491"/>
    </row>
    <row r="4" spans="1:14" ht="9" customHeight="1" x14ac:dyDescent="0.25">
      <c r="A4" s="519"/>
      <c r="B4" s="513"/>
      <c r="C4" s="511"/>
      <c r="D4" s="513"/>
      <c r="E4" s="515"/>
      <c r="F4" s="513"/>
      <c r="G4" s="514"/>
      <c r="H4" s="504"/>
      <c r="I4" s="514"/>
      <c r="J4" s="522"/>
      <c r="K4" s="514"/>
      <c r="L4" s="504"/>
      <c r="M4" s="517"/>
      <c r="N4" s="509"/>
    </row>
    <row r="5" spans="1:14" ht="5.25" customHeight="1" thickBot="1" x14ac:dyDescent="0.3">
      <c r="A5" s="498"/>
      <c r="B5" s="505"/>
      <c r="C5" s="512"/>
      <c r="D5" s="498"/>
      <c r="E5" s="498"/>
      <c r="F5" s="498"/>
      <c r="G5" s="506"/>
      <c r="H5" s="466"/>
      <c r="I5" s="506"/>
      <c r="J5" s="523"/>
      <c r="K5" s="506"/>
      <c r="L5" s="466"/>
      <c r="M5" s="518"/>
      <c r="N5" s="492"/>
    </row>
    <row r="6" spans="1:14" ht="15.75" thickBot="1" x14ac:dyDescent="0.3">
      <c r="A6" s="30">
        <v>1</v>
      </c>
      <c r="B6" s="31" t="s">
        <v>39</v>
      </c>
      <c r="C6" s="61">
        <f>[1]STA_SP2_NO!$D$11</f>
        <v>229842.33</v>
      </c>
      <c r="D6" s="68">
        <f>[2]STA_SP2_NO!$D$11</f>
        <v>120756.31</v>
      </c>
      <c r="E6" s="117">
        <f>[3]STA_SP2_NO!$D$11</f>
        <v>82466</v>
      </c>
      <c r="F6" s="126">
        <f>[4]STA_SP2_NO!$D$11</f>
        <v>142060.01</v>
      </c>
      <c r="G6" s="117">
        <f>[5]STA_SP2_NO!$D$11</f>
        <v>134226</v>
      </c>
      <c r="H6" s="126">
        <f>[6]STA_SP2_NO!$D$11</f>
        <v>183011.41</v>
      </c>
      <c r="I6" s="117">
        <f>[7]STA_SP2_NO!$D$11</f>
        <v>307142</v>
      </c>
      <c r="J6" s="68">
        <f>[8]STA_SP2_NO!$D$11</f>
        <v>156728</v>
      </c>
      <c r="K6" s="62">
        <f>[9]STA_SP2_NO!$D$11</f>
        <v>97885.21</v>
      </c>
      <c r="L6" s="68">
        <f>[10]STA_SP2_NO!$D$11</f>
        <v>200053</v>
      </c>
      <c r="M6" s="332">
        <f>[11]STA_SP2_NO!$D$11</f>
        <v>18904.79</v>
      </c>
      <c r="N6" s="249">
        <f t="shared" ref="N6:N18" si="0">SUM(C6:M6)</f>
        <v>1673075.06</v>
      </c>
    </row>
    <row r="7" spans="1:14" ht="15.75" thickBot="1" x14ac:dyDescent="0.3">
      <c r="A7" s="32">
        <v>2</v>
      </c>
      <c r="B7" s="33" t="s">
        <v>40</v>
      </c>
      <c r="C7" s="61">
        <f>[1]STA_SP2_NO!$D$12</f>
        <v>58705.09</v>
      </c>
      <c r="D7" s="68">
        <f>[2]STA_SP2_NO!$D$12</f>
        <v>30844.93</v>
      </c>
      <c r="E7" s="117">
        <f>[3]STA_SP2_NO!$D$12</f>
        <v>16910</v>
      </c>
      <c r="F7" s="126">
        <f>[4]STA_SP2_NO!$D$12</f>
        <v>40928.25</v>
      </c>
      <c r="G7" s="117">
        <f>[5]STA_SP2_NO!$D$12</f>
        <v>27393</v>
      </c>
      <c r="H7" s="126">
        <f>[6]STA_SP2_NO!$D$12</f>
        <v>29705.78</v>
      </c>
      <c r="I7" s="117">
        <f>[7]STA_SP2_NO!$D$12</f>
        <v>65515</v>
      </c>
      <c r="J7" s="68">
        <f>[8]STA_SP2_NO!$D$12</f>
        <v>34671</v>
      </c>
      <c r="K7" s="62">
        <f>[9]STA_SP2_NO!$D$12</f>
        <v>24053.19</v>
      </c>
      <c r="L7" s="68">
        <f>[10]STA_SP2_NO!$D$12</f>
        <v>32342</v>
      </c>
      <c r="M7" s="332">
        <f>[11]STA_SP2_NO!$D$12</f>
        <v>3190.35</v>
      </c>
      <c r="N7" s="249">
        <f t="shared" si="0"/>
        <v>364258.58999999997</v>
      </c>
    </row>
    <row r="8" spans="1:14" ht="15.75" thickBot="1" x14ac:dyDescent="0.3">
      <c r="A8" s="32">
        <v>3</v>
      </c>
      <c r="B8" s="33" t="s">
        <v>41</v>
      </c>
      <c r="C8" s="61">
        <f>[1]STA_SP2_NO!$D$13</f>
        <v>9334.9</v>
      </c>
      <c r="D8" s="68">
        <f>[2]STA_SP2_NO!$D$13</f>
        <v>3448.49</v>
      </c>
      <c r="E8" s="117">
        <f>[3]STA_SP2_NO!$D$13</f>
        <v>2057</v>
      </c>
      <c r="F8" s="126">
        <f>[4]STA_SP2_NO!$D$13</f>
        <v>4310.07</v>
      </c>
      <c r="G8" s="117">
        <f>[5]STA_SP2_NO!$D$13</f>
        <v>3099</v>
      </c>
      <c r="H8" s="126">
        <f>[6]STA_SP2_NO!$D$13</f>
        <v>3052.52</v>
      </c>
      <c r="I8" s="117">
        <f>[7]STA_SP2_NO!$D$13</f>
        <v>6644</v>
      </c>
      <c r="J8" s="68">
        <f>[8]STA_SP2_NO!$D$13</f>
        <v>5065</v>
      </c>
      <c r="K8" s="62">
        <f>[9]STA_SP2_NO!$D$13</f>
        <v>2550.14</v>
      </c>
      <c r="L8" s="68">
        <f>[10]STA_SP2_NO!$D$13</f>
        <v>2186</v>
      </c>
      <c r="M8" s="332">
        <f>[11]STA_SP2_NO!$D$13</f>
        <v>146.9</v>
      </c>
      <c r="N8" s="249">
        <f t="shared" si="0"/>
        <v>41894.019999999997</v>
      </c>
    </row>
    <row r="9" spans="1:14" ht="15.75" thickBot="1" x14ac:dyDescent="0.3">
      <c r="A9" s="32">
        <v>4</v>
      </c>
      <c r="B9" s="33" t="s">
        <v>42</v>
      </c>
      <c r="C9" s="61">
        <f>[1]STA_SP2_NO!$D$14</f>
        <v>562.41999999999996</v>
      </c>
      <c r="D9" s="68">
        <f>[2]STA_SP2_NO!$D$14</f>
        <v>380.41</v>
      </c>
      <c r="E9" s="117">
        <f>[3]STA_SP2_NO!$D$14</f>
        <v>82</v>
      </c>
      <c r="F9" s="126">
        <f>[4]STA_SP2_NO!$D$14</f>
        <v>276.14</v>
      </c>
      <c r="G9" s="117">
        <f>[5]STA_SP2_NO!$D$14</f>
        <v>189</v>
      </c>
      <c r="H9" s="126">
        <f>[6]STA_SP2_NO!$D$14</f>
        <v>322.63</v>
      </c>
      <c r="I9" s="117">
        <f>[7]STA_SP2_NO!$D$14</f>
        <v>499</v>
      </c>
      <c r="J9" s="68">
        <f>[8]STA_SP2_NO!$D$14</f>
        <v>440</v>
      </c>
      <c r="K9" s="62">
        <f>[9]STA_SP2_NO!$D$14</f>
        <v>224.71</v>
      </c>
      <c r="L9" s="68">
        <f>[10]STA_SP2_NO!$D$14</f>
        <v>540</v>
      </c>
      <c r="M9" s="332">
        <f>[11]STA_SP2_NO!$D$14</f>
        <v>50.36</v>
      </c>
      <c r="N9" s="249">
        <f t="shared" si="0"/>
        <v>3566.67</v>
      </c>
    </row>
    <row r="10" spans="1:14" ht="15.75" thickBot="1" x14ac:dyDescent="0.3">
      <c r="A10" s="32">
        <v>5</v>
      </c>
      <c r="B10" s="33" t="s">
        <v>43</v>
      </c>
      <c r="C10" s="61">
        <f>[1]STA_SP2_NO!$D$15</f>
        <v>169.05</v>
      </c>
      <c r="D10" s="68">
        <f>[2]STA_SP2_NO!$D$15</f>
        <v>74.45</v>
      </c>
      <c r="E10" s="117">
        <f>[3]STA_SP2_NO!$D$15</f>
        <v>147</v>
      </c>
      <c r="F10" s="126">
        <f>[4]STA_SP2_NO!$D$15</f>
        <v>106.41</v>
      </c>
      <c r="G10" s="117">
        <f>[5]STA_SP2_NO!$D$15</f>
        <v>62</v>
      </c>
      <c r="H10" s="126">
        <f>[6]STA_SP2_NO!$D$15</f>
        <v>468.92</v>
      </c>
      <c r="I10" s="117">
        <f>[7]STA_SP2_NO!$D$15</f>
        <v>142</v>
      </c>
      <c r="J10" s="68">
        <f>[8]STA_SP2_NO!$D$15</f>
        <v>599</v>
      </c>
      <c r="K10" s="62">
        <f>[9]STA_SP2_NO!$D$15</f>
        <v>43.6</v>
      </c>
      <c r="L10" s="68">
        <f>[10]STA_SP2_NO!$D$15</f>
        <v>84</v>
      </c>
      <c r="M10" s="332">
        <f>[11]STA_SP2_NO!$D$15</f>
        <v>4.24</v>
      </c>
      <c r="N10" s="249">
        <f t="shared" si="0"/>
        <v>1900.6699999999998</v>
      </c>
    </row>
    <row r="11" spans="1:14" ht="15.75" thickBot="1" x14ac:dyDescent="0.3">
      <c r="A11" s="32">
        <v>6</v>
      </c>
      <c r="B11" s="33" t="s">
        <v>44</v>
      </c>
      <c r="C11" s="61">
        <f>[1]STA_SP2_NO!$D$16</f>
        <v>6989.36</v>
      </c>
      <c r="D11" s="68">
        <f>[2]STA_SP2_NO!$D$16</f>
        <v>3914.87</v>
      </c>
      <c r="E11" s="117">
        <f>[3]STA_SP2_NO!$D$16</f>
        <v>2072</v>
      </c>
      <c r="F11" s="126">
        <f>[4]STA_SP2_NO!$D$16</f>
        <v>6996.61</v>
      </c>
      <c r="G11" s="117">
        <f>[5]STA_SP2_NO!$D$16</f>
        <v>3414</v>
      </c>
      <c r="H11" s="126">
        <f>[6]STA_SP2_NO!$D$16</f>
        <v>6180.25</v>
      </c>
      <c r="I11" s="117">
        <f>[7]STA_SP2_NO!$D$16</f>
        <v>8204</v>
      </c>
      <c r="J11" s="68">
        <f>[8]STA_SP2_NO!$D$16</f>
        <v>4610</v>
      </c>
      <c r="K11" s="62">
        <f>[9]STA_SP2_NO!$D$16</f>
        <v>2454.46</v>
      </c>
      <c r="L11" s="68">
        <f>[10]STA_SP2_NO!$D$16</f>
        <v>8496</v>
      </c>
      <c r="M11" s="332">
        <f>[11]STA_SP2_NO!$D$16</f>
        <v>113.42</v>
      </c>
      <c r="N11" s="249">
        <f t="shared" si="0"/>
        <v>53444.969999999994</v>
      </c>
    </row>
    <row r="12" spans="1:14" ht="15.75" thickBot="1" x14ac:dyDescent="0.3">
      <c r="A12" s="32">
        <v>7</v>
      </c>
      <c r="B12" s="33" t="s">
        <v>45</v>
      </c>
      <c r="C12" s="61">
        <f>[1]STA_SP2_NO!$D$17</f>
        <v>363.98</v>
      </c>
      <c r="D12" s="68">
        <f>[2]STA_SP2_NO!$D$17</f>
        <v>274.52999999999997</v>
      </c>
      <c r="E12" s="117">
        <f>[3]STA_SP2_NO!$D$17</f>
        <v>117</v>
      </c>
      <c r="F12" s="126">
        <f>[4]STA_SP2_NO!$D$17</f>
        <v>280.33999999999997</v>
      </c>
      <c r="G12" s="117">
        <f>[5]STA_SP2_NO!$D$17</f>
        <v>150</v>
      </c>
      <c r="H12" s="126">
        <f>[6]STA_SP2_NO!$D$17</f>
        <v>210.46</v>
      </c>
      <c r="I12" s="117">
        <f>[7]STA_SP2_NO!$D$17</f>
        <v>392</v>
      </c>
      <c r="J12" s="68">
        <f>[8]STA_SP2_NO!$D$17</f>
        <v>295</v>
      </c>
      <c r="K12" s="62">
        <f>[9]STA_SP2_NO!$D$17</f>
        <v>152.96</v>
      </c>
      <c r="L12" s="68">
        <f>[10]STA_SP2_NO!$D$17</f>
        <v>242</v>
      </c>
      <c r="M12" s="332">
        <f>[11]STA_SP2_NO!$D$17</f>
        <v>21.15</v>
      </c>
      <c r="N12" s="249">
        <f t="shared" si="0"/>
        <v>2499.42</v>
      </c>
    </row>
    <row r="13" spans="1:14" ht="15.75" thickBot="1" x14ac:dyDescent="0.3">
      <c r="A13" s="32">
        <v>8</v>
      </c>
      <c r="B13" s="33" t="s">
        <v>46</v>
      </c>
      <c r="C13" s="61">
        <f>[1]STA_SP2_NO!$D$18</f>
        <v>930.14</v>
      </c>
      <c r="D13" s="68">
        <f>[2]STA_SP2_NO!$D$18</f>
        <v>252.82</v>
      </c>
      <c r="E13" s="117">
        <f>[3]STA_SP2_NO!$D$18</f>
        <v>357</v>
      </c>
      <c r="F13" s="126">
        <f>[4]STA_SP2_NO!$D$18</f>
        <v>298.26</v>
      </c>
      <c r="G13" s="117">
        <f>[5]STA_SP2_NO!$D$18</f>
        <v>384</v>
      </c>
      <c r="H13" s="126">
        <f>[6]STA_SP2_NO!$D$18</f>
        <v>0</v>
      </c>
      <c r="I13" s="117">
        <f>[7]STA_SP2_NO!$D$18</f>
        <v>864</v>
      </c>
      <c r="J13" s="68">
        <f>[8]STA_SP2_NO!$D$18</f>
        <v>928</v>
      </c>
      <c r="K13" s="62">
        <f>[9]STA_SP2_NO!$D$18</f>
        <v>230.26</v>
      </c>
      <c r="L13" s="68">
        <f>[10]STA_SP2_NO!$D$18</f>
        <v>344</v>
      </c>
      <c r="M13" s="332">
        <f>[11]STA_SP2_NO!$D$18</f>
        <v>26.28</v>
      </c>
      <c r="N13" s="249">
        <f t="shared" si="0"/>
        <v>4614.76</v>
      </c>
    </row>
    <row r="14" spans="1:14" ht="23.25" thickBot="1" x14ac:dyDescent="0.3">
      <c r="A14" s="32">
        <v>9</v>
      </c>
      <c r="B14" s="53" t="s">
        <v>47</v>
      </c>
      <c r="C14" s="61">
        <f>[1]STA_SP2_NO!$D$19</f>
        <v>-0.93</v>
      </c>
      <c r="D14" s="68">
        <f>[2]STA_SP2_NO!$D$19</f>
        <v>0</v>
      </c>
      <c r="E14" s="117">
        <f>[3]STA_SP2_NO!$D$19</f>
        <v>0</v>
      </c>
      <c r="F14" s="126">
        <f>[4]STA_SP2_NO!$D$19</f>
        <v>0</v>
      </c>
      <c r="G14" s="117">
        <f>[5]STA_SP2_NO!$D$19</f>
        <v>0</v>
      </c>
      <c r="H14" s="126">
        <f>[6]STA_SP2_NO!$D$19</f>
        <v>0</v>
      </c>
      <c r="I14" s="117">
        <f>[7]STA_SP2_NO!$D$19</f>
        <v>0</v>
      </c>
      <c r="J14" s="68">
        <f>[8]STA_SP2_NO!$D$19</f>
        <v>0</v>
      </c>
      <c r="K14" s="62">
        <f>[9]STA_SP2_NO!$D$19</f>
        <v>0</v>
      </c>
      <c r="L14" s="68">
        <f>[10]STA_SP2_NO!$D$19</f>
        <v>0</v>
      </c>
      <c r="M14" s="332">
        <f>[11]STA_SP2_NO!$D$19</f>
        <v>0</v>
      </c>
      <c r="N14" s="249">
        <f t="shared" si="0"/>
        <v>-0.93</v>
      </c>
    </row>
    <row r="15" spans="1:14" ht="23.25" thickBot="1" x14ac:dyDescent="0.3">
      <c r="A15" s="32">
        <v>10</v>
      </c>
      <c r="B15" s="53" t="s">
        <v>48</v>
      </c>
      <c r="C15" s="61">
        <f>[1]STA_SP2_NO!$D$20</f>
        <v>0</v>
      </c>
      <c r="D15" s="68">
        <f>[2]STA_SP2_NO!$D$20</f>
        <v>0</v>
      </c>
      <c r="E15" s="117">
        <f>[3]STA_SP2_NO!$D$20</f>
        <v>0</v>
      </c>
      <c r="F15" s="126">
        <f>[4]STA_SP2_NO!$D$20</f>
        <v>0</v>
      </c>
      <c r="G15" s="117">
        <f>[5]STA_SP2_NO!$D$20</f>
        <v>0</v>
      </c>
      <c r="H15" s="126">
        <f>[6]STA_SP2_NO!$D$20</f>
        <v>0</v>
      </c>
      <c r="I15" s="117">
        <f>[7]STA_SP2_NO!$D$20</f>
        <v>0</v>
      </c>
      <c r="J15" s="68">
        <f>[8]STA_SP2_NO!$D$20</f>
        <v>0</v>
      </c>
      <c r="K15" s="62">
        <f>[9]STA_SP2_NO!$D$20</f>
        <v>0</v>
      </c>
      <c r="L15" s="68">
        <f>[10]STA_SP2_NO!$D$20</f>
        <v>0</v>
      </c>
      <c r="M15" s="332">
        <f>[11]STA_SP2_NO!$D$20</f>
        <v>0</v>
      </c>
      <c r="N15" s="249">
        <f t="shared" si="0"/>
        <v>0</v>
      </c>
    </row>
    <row r="16" spans="1:14" ht="15.75" thickBot="1" x14ac:dyDescent="0.3">
      <c r="A16" s="32">
        <v>11</v>
      </c>
      <c r="B16" s="33" t="s">
        <v>49</v>
      </c>
      <c r="C16" s="61">
        <f>[1]STA_SP2_NO!$D$21</f>
        <v>0</v>
      </c>
      <c r="D16" s="68">
        <f>[2]STA_SP2_NO!$D$21</f>
        <v>0</v>
      </c>
      <c r="E16" s="117">
        <f>[3]STA_SP2_NO!$D$21</f>
        <v>0</v>
      </c>
      <c r="F16" s="126">
        <f>[4]STA_SP2_NO!$D$21</f>
        <v>0</v>
      </c>
      <c r="G16" s="117">
        <f>[5]STA_SP2_NO!$D$21</f>
        <v>527</v>
      </c>
      <c r="H16" s="126">
        <f>[6]STA_SP2_NO!$D$21</f>
        <v>0</v>
      </c>
      <c r="I16" s="117">
        <f>[7]STA_SP2_NO!$D$21</f>
        <v>0</v>
      </c>
      <c r="J16" s="68">
        <f>[8]STA_SP2_NO!$D$21</f>
        <v>0</v>
      </c>
      <c r="K16" s="62">
        <f>[9]STA_SP2_NO!$D$21</f>
        <v>0</v>
      </c>
      <c r="L16" s="68">
        <f>[10]STA_SP2_NO!$D$21</f>
        <v>0</v>
      </c>
      <c r="M16" s="332">
        <f>[11]STA_SP2_NO!$D$21</f>
        <v>26.93</v>
      </c>
      <c r="N16" s="249">
        <f t="shared" si="0"/>
        <v>553.92999999999995</v>
      </c>
    </row>
    <row r="17" spans="1:14" ht="45.75" thickBot="1" x14ac:dyDescent="0.3">
      <c r="A17" s="32">
        <v>12</v>
      </c>
      <c r="B17" s="53" t="s">
        <v>50</v>
      </c>
      <c r="C17" s="61">
        <f>[1]STA_SP2_NO!$D$22</f>
        <v>0</v>
      </c>
      <c r="D17" s="68">
        <f>[2]STA_SP2_NO!$D$22</f>
        <v>0</v>
      </c>
      <c r="E17" s="117">
        <f>[3]STA_SP2_NO!$D$22</f>
        <v>0</v>
      </c>
      <c r="F17" s="126">
        <f>[4]STA_SP2_NO!$D$22</f>
        <v>0</v>
      </c>
      <c r="G17" s="117">
        <f>[5]STA_SP2_NO!$D$22</f>
        <v>0</v>
      </c>
      <c r="H17" s="126">
        <f>[6]STA_SP2_NO!$D$22</f>
        <v>0</v>
      </c>
      <c r="I17" s="117">
        <f>[7]STA_SP2_NO!$D$22</f>
        <v>0</v>
      </c>
      <c r="J17" s="68">
        <f>[8]STA_SP2_NO!$D$22</f>
        <v>0</v>
      </c>
      <c r="K17" s="62">
        <f>[9]STA_SP2_NO!$D$22</f>
        <v>0</v>
      </c>
      <c r="L17" s="68">
        <f>[10]STA_SP2_NO!$D$22</f>
        <v>0</v>
      </c>
      <c r="M17" s="386">
        <f>[11]STA_SP2_NO!$D$22</f>
        <v>0</v>
      </c>
      <c r="N17" s="249">
        <f t="shared" si="0"/>
        <v>0</v>
      </c>
    </row>
    <row r="18" spans="1:14" ht="34.5" thickBot="1" x14ac:dyDescent="0.3">
      <c r="A18" s="32">
        <v>13</v>
      </c>
      <c r="B18" s="53" t="s">
        <v>51</v>
      </c>
      <c r="C18" s="61">
        <f>[1]STA_SP2_NO!$D$23</f>
        <v>199.47</v>
      </c>
      <c r="D18" s="68">
        <f>[2]STA_SP2_NO!$D$23</f>
        <v>0</v>
      </c>
      <c r="E18" s="117">
        <f>[3]STA_SP2_NO!$D$23</f>
        <v>0</v>
      </c>
      <c r="F18" s="126">
        <f>[4]STA_SP2_NO!$D$23</f>
        <v>0</v>
      </c>
      <c r="G18" s="117">
        <f>[5]STA_SP2_NO!$D$23</f>
        <v>122</v>
      </c>
      <c r="H18" s="126">
        <f>[6]STA_SP2_NO!$D$23</f>
        <v>0</v>
      </c>
      <c r="I18" s="117">
        <f>[7]STA_SP2_NO!$D$23</f>
        <v>0</v>
      </c>
      <c r="J18" s="68">
        <f>[8]STA_SP2_NO!$D$23</f>
        <v>0</v>
      </c>
      <c r="K18" s="62">
        <f>[9]STA_SP2_NO!$D$23</f>
        <v>0</v>
      </c>
      <c r="L18" s="68">
        <f>[10]STA_SP2_NO!$D$23</f>
        <v>4</v>
      </c>
      <c r="M18" s="386">
        <f>[11]STA_SP2_NO!$D$23</f>
        <v>0</v>
      </c>
      <c r="N18" s="249">
        <f t="shared" si="0"/>
        <v>325.47000000000003</v>
      </c>
    </row>
    <row r="19" spans="1:14" ht="15.75" thickBot="1" x14ac:dyDescent="0.3">
      <c r="A19" s="36"/>
      <c r="B19" s="37" t="s">
        <v>37</v>
      </c>
      <c r="C19" s="41">
        <f t="shared" ref="C19:E19" si="1">SUM(C6:C18)</f>
        <v>307095.80999999994</v>
      </c>
      <c r="D19" s="42">
        <f>SUM(D6:D18)</f>
        <v>159946.81</v>
      </c>
      <c r="E19" s="41">
        <f t="shared" si="1"/>
        <v>104208</v>
      </c>
      <c r="F19" s="39">
        <f t="shared" ref="F19:N19" si="2">SUM(F6:F18)</f>
        <v>195256.09000000003</v>
      </c>
      <c r="G19" s="41">
        <f t="shared" si="2"/>
        <v>169566</v>
      </c>
      <c r="H19" s="42">
        <f t="shared" si="2"/>
        <v>222951.97</v>
      </c>
      <c r="I19" s="41">
        <f t="shared" si="2"/>
        <v>389402</v>
      </c>
      <c r="J19" s="42">
        <f t="shared" si="2"/>
        <v>203336</v>
      </c>
      <c r="K19" s="41">
        <f t="shared" si="2"/>
        <v>127594.53000000003</v>
      </c>
      <c r="L19" s="42">
        <f t="shared" si="2"/>
        <v>244291</v>
      </c>
      <c r="M19" s="333">
        <f t="shared" si="2"/>
        <v>22484.420000000002</v>
      </c>
      <c r="N19" s="250">
        <f t="shared" si="2"/>
        <v>2146132.63</v>
      </c>
    </row>
    <row r="20" spans="1:14" ht="15.75" thickBot="1" x14ac:dyDescent="0.3">
      <c r="A20" s="1"/>
      <c r="B20" s="1"/>
      <c r="C20" s="1"/>
      <c r="D20" s="1"/>
      <c r="E20" s="1"/>
      <c r="F20" s="1"/>
      <c r="G20" s="341"/>
      <c r="H20" s="1"/>
      <c r="I20" s="341"/>
      <c r="J20" s="1"/>
      <c r="K20" s="341"/>
      <c r="L20" s="1"/>
      <c r="M20" s="341"/>
      <c r="N20" s="1"/>
    </row>
    <row r="21" spans="1:14" ht="15.75" thickBot="1" x14ac:dyDescent="0.3">
      <c r="A21" s="448" t="s">
        <v>53</v>
      </c>
      <c r="B21" s="520"/>
      <c r="C21" s="55">
        <f>C19/N19</f>
        <v>0.14309265220015779</v>
      </c>
      <c r="D21" s="56">
        <f>D19/N19</f>
        <v>7.4527924213146135E-2</v>
      </c>
      <c r="E21" s="48">
        <f>E19/N19</f>
        <v>4.8556178934756708E-2</v>
      </c>
      <c r="F21" s="47">
        <f>F19/N19</f>
        <v>9.0980439545341629E-2</v>
      </c>
      <c r="G21" s="70">
        <f>G19/N19</f>
        <v>7.901002837834864E-2</v>
      </c>
      <c r="H21" s="47">
        <f>H19/N19</f>
        <v>0.10388545744258126</v>
      </c>
      <c r="I21" s="70">
        <f>I19/N19</f>
        <v>0.18144358580485309</v>
      </c>
      <c r="J21" s="47">
        <f>J19/N19</f>
        <v>9.4745309380063814E-2</v>
      </c>
      <c r="K21" s="70">
        <f>K19/N19</f>
        <v>5.9453236121758249E-2</v>
      </c>
      <c r="L21" s="47">
        <f>L19/N19</f>
        <v>0.11382847294018358</v>
      </c>
      <c r="M21" s="342">
        <f>M19/N19</f>
        <v>1.0476715038809136E-2</v>
      </c>
      <c r="N21" s="258">
        <f>SUM(C21:M21)</f>
        <v>1.0000000000000002</v>
      </c>
    </row>
  </sheetData>
  <mergeCells count="17">
    <mergeCell ref="C1:K1"/>
    <mergeCell ref="A2:A5"/>
    <mergeCell ref="B2:B5"/>
    <mergeCell ref="A21:B21"/>
    <mergeCell ref="H3:H5"/>
    <mergeCell ref="I3:I5"/>
    <mergeCell ref="J3:J5"/>
    <mergeCell ref="K3:K5"/>
    <mergeCell ref="N2:N5"/>
    <mergeCell ref="C3:C5"/>
    <mergeCell ref="D3:D5"/>
    <mergeCell ref="E3:E5"/>
    <mergeCell ref="F3:F5"/>
    <mergeCell ref="G3:G5"/>
    <mergeCell ref="L3:L5"/>
    <mergeCell ref="C2:M2"/>
    <mergeCell ref="M3:M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Премија</vt:lpstr>
      <vt:lpstr>Број на склучени договори</vt:lpstr>
      <vt:lpstr>Ликвидирани штети</vt:lpstr>
      <vt:lpstr>Број на ликвидирани штети</vt:lpstr>
      <vt:lpstr>Број на резервирани штети</vt:lpstr>
      <vt:lpstr>Резервации</vt:lpstr>
      <vt:lpstr>Не пријавени штети</vt:lpstr>
      <vt:lpstr>ЗАО договори</vt:lpstr>
      <vt:lpstr>ЗАО Премија</vt:lpstr>
      <vt:lpstr>ЗК Број Премија</vt:lpstr>
      <vt:lpstr>ГР Број и Премија </vt:lpstr>
      <vt:lpstr>ЗАО број Лик штети</vt:lpstr>
      <vt:lpstr>ЗАО Ликвидирани штети</vt:lpstr>
      <vt:lpstr>ЗК број и штети</vt:lpstr>
      <vt:lpstr>ГР Број Штети</vt:lpstr>
      <vt:lpstr>Техничка премија</vt:lpstr>
      <vt:lpstr>Рез за настанати при штети</vt:lpstr>
      <vt:lpstr>Продажба по канали</vt:lpstr>
      <vt:lpstr>Бруто тех</vt:lpstr>
      <vt:lpstr>Вкупно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BetiMitrovska</dc:creator>
  <cp:lastModifiedBy>Viktorija</cp:lastModifiedBy>
  <cp:lastPrinted>2025-08-26T11:00:39Z</cp:lastPrinted>
  <dcterms:created xsi:type="dcterms:W3CDTF">2013-08-27T07:05:34Z</dcterms:created>
  <dcterms:modified xsi:type="dcterms:W3CDTF">2025-08-29T10:44:56Z</dcterms:modified>
</cp:coreProperties>
</file>