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955" windowWidth="20115" windowHeight="1185"/>
  </bookViews>
  <sheets>
    <sheet name="Премија" sheetId="1" r:id="rId1"/>
    <sheet name="Број на склучени договори" sheetId="2" r:id="rId2"/>
    <sheet name="Ликвидирани штети" sheetId="3" r:id="rId3"/>
    <sheet name="Број на ликвидирани штети" sheetId="4" r:id="rId4"/>
    <sheet name="Број на резервирани штети" sheetId="5" r:id="rId5"/>
    <sheet name="Резервации" sheetId="6" r:id="rId6"/>
    <sheet name="Не пријавени штети" sheetId="58" r:id="rId7"/>
    <sheet name="ЗАО договори" sheetId="8" r:id="rId8"/>
    <sheet name="ЗАО Премија" sheetId="9" r:id="rId9"/>
    <sheet name="ЗК Број Премија" sheetId="12" r:id="rId10"/>
    <sheet name="ГР Број и Премија " sheetId="53" r:id="rId11"/>
    <sheet name="ЗАО број Лик штети" sheetId="32" r:id="rId12"/>
    <sheet name="ЗАО Ликвидирани штети" sheetId="31" r:id="rId13"/>
    <sheet name="ЗК број и штети" sheetId="30" r:id="rId14"/>
    <sheet name="ГР Број Штети" sheetId="29" r:id="rId15"/>
    <sheet name="Техничка премија" sheetId="10" r:id="rId16"/>
    <sheet name="Рез за настанати при штети" sheetId="17" r:id="rId17"/>
    <sheet name="Продажба по канали" sheetId="34" r:id="rId18"/>
    <sheet name="Бруто тех" sheetId="47" r:id="rId19"/>
    <sheet name="Вкупно" sheetId="57" r:id="rId20"/>
    <sheet name="Преносна премија" sheetId="59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calcPr calcId="145621"/>
</workbook>
</file>

<file path=xl/calcChain.xml><?xml version="1.0" encoding="utf-8"?>
<calcChain xmlns="http://schemas.openxmlformats.org/spreadsheetml/2006/main">
  <c r="M21" i="59" l="1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22" i="59" s="1"/>
  <c r="M5" i="59"/>
  <c r="M4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K8" i="59"/>
  <c r="K7" i="59"/>
  <c r="K6" i="59"/>
  <c r="K5" i="59"/>
  <c r="K4" i="59"/>
  <c r="J21" i="59"/>
  <c r="J20" i="59"/>
  <c r="J19" i="59"/>
  <c r="J18" i="59"/>
  <c r="J17" i="59"/>
  <c r="J16" i="59"/>
  <c r="J15" i="59"/>
  <c r="J14" i="59"/>
  <c r="J13" i="59"/>
  <c r="J12" i="59"/>
  <c r="J11" i="59"/>
  <c r="J10" i="59"/>
  <c r="J9" i="59"/>
  <c r="J8" i="59"/>
  <c r="J7" i="59"/>
  <c r="J6" i="59"/>
  <c r="J5" i="59"/>
  <c r="J4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6" i="59"/>
  <c r="H5" i="59"/>
  <c r="H4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4" i="59"/>
  <c r="F21" i="59"/>
  <c r="F20" i="59"/>
  <c r="F19" i="59"/>
  <c r="F18" i="59"/>
  <c r="F17" i="59"/>
  <c r="F16" i="59"/>
  <c r="F15" i="59"/>
  <c r="F14" i="59"/>
  <c r="F13" i="59"/>
  <c r="F12" i="59"/>
  <c r="F11" i="59"/>
  <c r="F10" i="59"/>
  <c r="F9" i="59"/>
  <c r="F8" i="59"/>
  <c r="F7" i="59"/>
  <c r="F6" i="59"/>
  <c r="F5" i="59"/>
  <c r="F4" i="59"/>
  <c r="F22" i="59" s="1"/>
  <c r="E21" i="59"/>
  <c r="E20" i="59"/>
  <c r="E19" i="59"/>
  <c r="E18" i="59"/>
  <c r="E17" i="59"/>
  <c r="E16" i="59"/>
  <c r="E15" i="59"/>
  <c r="E14" i="59"/>
  <c r="E13" i="59"/>
  <c r="E12" i="59"/>
  <c r="E11" i="59"/>
  <c r="E10" i="59"/>
  <c r="E9" i="59"/>
  <c r="E8" i="59"/>
  <c r="E7" i="59"/>
  <c r="E6" i="59"/>
  <c r="E5" i="59"/>
  <c r="E4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8" i="59"/>
  <c r="D7" i="59"/>
  <c r="D6" i="59"/>
  <c r="D5" i="59"/>
  <c r="D4" i="59"/>
  <c r="C21" i="59"/>
  <c r="C20" i="59"/>
  <c r="N20" i="59" s="1"/>
  <c r="C19" i="59"/>
  <c r="C18" i="59"/>
  <c r="C17" i="59"/>
  <c r="C16" i="59"/>
  <c r="N16" i="59" s="1"/>
  <c r="C15" i="59"/>
  <c r="C14" i="59"/>
  <c r="C13" i="59"/>
  <c r="C12" i="59"/>
  <c r="N12" i="59" s="1"/>
  <c r="C11" i="59"/>
  <c r="C10" i="59"/>
  <c r="C9" i="59"/>
  <c r="C8" i="59"/>
  <c r="N8" i="59" s="1"/>
  <c r="C7" i="59"/>
  <c r="C6" i="59"/>
  <c r="C5" i="59"/>
  <c r="C4" i="59"/>
  <c r="N4" i="59" s="1"/>
  <c r="I21" i="59"/>
  <c r="I20" i="59"/>
  <c r="I19" i="59"/>
  <c r="I18" i="59"/>
  <c r="N18" i="59" s="1"/>
  <c r="I17" i="59"/>
  <c r="I16" i="59"/>
  <c r="I15" i="59"/>
  <c r="I14" i="59"/>
  <c r="I13" i="59"/>
  <c r="I12" i="59"/>
  <c r="I11" i="59"/>
  <c r="I10" i="59"/>
  <c r="N10" i="59" s="1"/>
  <c r="I9" i="59"/>
  <c r="I8" i="59"/>
  <c r="I7" i="59"/>
  <c r="I6" i="59"/>
  <c r="N6" i="59" s="1"/>
  <c r="I5" i="59"/>
  <c r="I4" i="59"/>
  <c r="N19" i="59"/>
  <c r="N15" i="59"/>
  <c r="N5" i="59"/>
  <c r="K22" i="59"/>
  <c r="H22" i="59"/>
  <c r="G22" i="59"/>
  <c r="D22" i="59"/>
  <c r="N17" i="59" l="1"/>
  <c r="N7" i="59"/>
  <c r="N11" i="59"/>
  <c r="N9" i="59"/>
  <c r="N13" i="59"/>
  <c r="N21" i="59"/>
  <c r="J22" i="59"/>
  <c r="N14" i="59"/>
  <c r="L22" i="59"/>
  <c r="E22" i="59"/>
  <c r="I22" i="59"/>
  <c r="C22" i="59"/>
  <c r="J15" i="47"/>
  <c r="F15" i="47"/>
  <c r="E15" i="47"/>
  <c r="D15" i="47"/>
  <c r="C15" i="47"/>
  <c r="K7" i="17"/>
  <c r="K6" i="17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28" i="29"/>
  <c r="K27" i="29"/>
  <c r="K26" i="29"/>
  <c r="K25" i="29"/>
  <c r="K24" i="29"/>
  <c r="K23" i="29"/>
  <c r="K22" i="29"/>
  <c r="K21" i="29"/>
  <c r="K12" i="29"/>
  <c r="K11" i="29"/>
  <c r="K10" i="29"/>
  <c r="K9" i="29"/>
  <c r="K8" i="29"/>
  <c r="K7" i="29"/>
  <c r="K6" i="29"/>
  <c r="K5" i="29"/>
  <c r="K29" i="30"/>
  <c r="K28" i="30"/>
  <c r="K27" i="30"/>
  <c r="K26" i="30"/>
  <c r="K25" i="30"/>
  <c r="K24" i="30"/>
  <c r="K23" i="30"/>
  <c r="K22" i="30"/>
  <c r="K12" i="30"/>
  <c r="K11" i="30"/>
  <c r="K10" i="30"/>
  <c r="K9" i="30"/>
  <c r="K8" i="30"/>
  <c r="K7" i="30"/>
  <c r="K6" i="30"/>
  <c r="K5" i="30"/>
  <c r="K17" i="31"/>
  <c r="K16" i="31"/>
  <c r="K15" i="31"/>
  <c r="K14" i="31"/>
  <c r="K13" i="31"/>
  <c r="K12" i="31"/>
  <c r="K11" i="31"/>
  <c r="K10" i="31"/>
  <c r="K9" i="31"/>
  <c r="K8" i="31"/>
  <c r="K7" i="31"/>
  <c r="K6" i="31"/>
  <c r="K5" i="31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K28" i="53"/>
  <c r="K27" i="53"/>
  <c r="K26" i="53"/>
  <c r="K25" i="53"/>
  <c r="K24" i="53"/>
  <c r="K23" i="53"/>
  <c r="K22" i="53"/>
  <c r="K21" i="53"/>
  <c r="K12" i="53"/>
  <c r="K11" i="53"/>
  <c r="K10" i="53"/>
  <c r="K9" i="53"/>
  <c r="K8" i="53"/>
  <c r="K7" i="53"/>
  <c r="K6" i="53"/>
  <c r="K5" i="53"/>
  <c r="K29" i="12"/>
  <c r="K28" i="12"/>
  <c r="K27" i="12"/>
  <c r="K26" i="12"/>
  <c r="K25" i="12"/>
  <c r="K24" i="12"/>
  <c r="K23" i="12"/>
  <c r="K22" i="12"/>
  <c r="K12" i="12"/>
  <c r="K11" i="12"/>
  <c r="K10" i="12"/>
  <c r="K9" i="12"/>
  <c r="K8" i="12"/>
  <c r="K7" i="12"/>
  <c r="K6" i="12"/>
  <c r="K5" i="12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21" i="58"/>
  <c r="K20" i="58"/>
  <c r="K19" i="58"/>
  <c r="K18" i="58"/>
  <c r="K17" i="58"/>
  <c r="K16" i="58"/>
  <c r="K15" i="58"/>
  <c r="K14" i="58"/>
  <c r="K13" i="58"/>
  <c r="K12" i="58"/>
  <c r="K11" i="58"/>
  <c r="K10" i="58"/>
  <c r="K9" i="58"/>
  <c r="K8" i="58"/>
  <c r="K7" i="58"/>
  <c r="K6" i="58"/>
  <c r="K5" i="58"/>
  <c r="K4" i="58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21" i="3"/>
  <c r="K20" i="3"/>
  <c r="K19" i="3"/>
  <c r="K18" i="3"/>
  <c r="K21" i="2"/>
  <c r="K20" i="2"/>
  <c r="K19" i="2"/>
  <c r="K18" i="2"/>
  <c r="K18" i="1"/>
  <c r="K19" i="1"/>
  <c r="K21" i="1"/>
  <c r="K20" i="1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22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N22" i="59" l="1"/>
  <c r="M24" i="59" s="1"/>
  <c r="L24" i="59"/>
  <c r="H24" i="59"/>
  <c r="D24" i="59"/>
  <c r="C24" i="59"/>
  <c r="K24" i="59"/>
  <c r="G24" i="59"/>
  <c r="J24" i="59"/>
  <c r="F24" i="59"/>
  <c r="G15" i="47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J34" i="34"/>
  <c r="J33" i="34"/>
  <c r="J32" i="34"/>
  <c r="J30" i="34"/>
  <c r="J29" i="34"/>
  <c r="J28" i="34"/>
  <c r="J26" i="34"/>
  <c r="J25" i="34"/>
  <c r="J24" i="34"/>
  <c r="J22" i="34"/>
  <c r="J21" i="34"/>
  <c r="J20" i="34"/>
  <c r="J18" i="34"/>
  <c r="J17" i="34"/>
  <c r="J16" i="34"/>
  <c r="J14" i="34"/>
  <c r="J13" i="34"/>
  <c r="J12" i="34"/>
  <c r="J10" i="34"/>
  <c r="J9" i="34"/>
  <c r="J8" i="34"/>
  <c r="J6" i="34"/>
  <c r="J5" i="34"/>
  <c r="J4" i="34"/>
  <c r="I24" i="59" l="1"/>
  <c r="E24" i="59"/>
  <c r="N24" i="59" s="1"/>
  <c r="G6" i="34"/>
  <c r="G5" i="31"/>
  <c r="H5" i="31"/>
  <c r="I5" i="31"/>
  <c r="J5" i="31"/>
  <c r="L5" i="31"/>
  <c r="G6" i="31"/>
  <c r="H6" i="31"/>
  <c r="I6" i="31"/>
  <c r="J6" i="31"/>
  <c r="L6" i="31"/>
  <c r="G7" i="31"/>
  <c r="H7" i="31"/>
  <c r="I7" i="31"/>
  <c r="J7" i="31"/>
  <c r="L7" i="31"/>
  <c r="G8" i="31"/>
  <c r="H8" i="31"/>
  <c r="I8" i="31"/>
  <c r="J8" i="31"/>
  <c r="L8" i="31"/>
  <c r="G9" i="31"/>
  <c r="H9" i="31"/>
  <c r="I9" i="31"/>
  <c r="J9" i="31"/>
  <c r="L9" i="31"/>
  <c r="G10" i="31"/>
  <c r="H10" i="31"/>
  <c r="I10" i="31"/>
  <c r="J10" i="31"/>
  <c r="L10" i="31"/>
  <c r="G11" i="31"/>
  <c r="H11" i="31"/>
  <c r="I11" i="31"/>
  <c r="J11" i="31"/>
  <c r="L11" i="31"/>
  <c r="G12" i="31"/>
  <c r="H12" i="31"/>
  <c r="I12" i="31"/>
  <c r="J12" i="31"/>
  <c r="L12" i="31"/>
  <c r="G13" i="31"/>
  <c r="H13" i="31"/>
  <c r="I13" i="31"/>
  <c r="J13" i="31"/>
  <c r="L13" i="31"/>
  <c r="G14" i="31"/>
  <c r="H14" i="31"/>
  <c r="I14" i="31"/>
  <c r="J14" i="31"/>
  <c r="L14" i="31"/>
  <c r="G15" i="31"/>
  <c r="H15" i="31"/>
  <c r="I15" i="31"/>
  <c r="J15" i="31"/>
  <c r="L15" i="31"/>
  <c r="G16" i="31"/>
  <c r="H16" i="31"/>
  <c r="I16" i="31"/>
  <c r="J16" i="31"/>
  <c r="K18" i="31"/>
  <c r="L16" i="31"/>
  <c r="G17" i="31"/>
  <c r="H17" i="31"/>
  <c r="I17" i="31"/>
  <c r="J17" i="31"/>
  <c r="L17" i="31"/>
  <c r="G5" i="8"/>
  <c r="H18" i="31" l="1"/>
  <c r="L18" i="31"/>
  <c r="J18" i="31"/>
  <c r="G18" i="31"/>
  <c r="I18" i="31"/>
  <c r="L10" i="34"/>
  <c r="L34" i="34" l="1"/>
  <c r="L33" i="34"/>
  <c r="L32" i="34"/>
  <c r="L30" i="34"/>
  <c r="L29" i="34"/>
  <c r="L28" i="34"/>
  <c r="L26" i="34"/>
  <c r="L25" i="34"/>
  <c r="L24" i="34"/>
  <c r="L22" i="34"/>
  <c r="L21" i="34"/>
  <c r="L20" i="34"/>
  <c r="L18" i="34"/>
  <c r="L17" i="34"/>
  <c r="L16" i="34"/>
  <c r="L12" i="34"/>
  <c r="L14" i="34"/>
  <c r="L13" i="34"/>
  <c r="L9" i="34"/>
  <c r="L8" i="34"/>
  <c r="L6" i="34"/>
  <c r="L5" i="34"/>
  <c r="L4" i="34"/>
  <c r="I6" i="47" l="1"/>
  <c r="H6" i="47"/>
  <c r="J17" i="47"/>
  <c r="F17" i="47"/>
  <c r="E17" i="47"/>
  <c r="D17" i="47"/>
  <c r="C17" i="47"/>
  <c r="M7" i="17"/>
  <c r="M6" i="17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28" i="29"/>
  <c r="M27" i="29"/>
  <c r="M26" i="29"/>
  <c r="M25" i="29"/>
  <c r="M24" i="29"/>
  <c r="M23" i="29"/>
  <c r="M22" i="29"/>
  <c r="M21" i="29"/>
  <c r="M12" i="29"/>
  <c r="M11" i="29"/>
  <c r="M10" i="29"/>
  <c r="M9" i="29"/>
  <c r="M8" i="29"/>
  <c r="M7" i="29"/>
  <c r="M6" i="29"/>
  <c r="M5" i="29"/>
  <c r="M29" i="30"/>
  <c r="M28" i="30"/>
  <c r="M27" i="30"/>
  <c r="M26" i="30"/>
  <c r="M25" i="30"/>
  <c r="M24" i="30"/>
  <c r="M23" i="30"/>
  <c r="M22" i="30"/>
  <c r="M12" i="30"/>
  <c r="M11" i="30"/>
  <c r="M10" i="30"/>
  <c r="M9" i="30"/>
  <c r="M8" i="30"/>
  <c r="M7" i="30"/>
  <c r="M6" i="30"/>
  <c r="M5" i="30"/>
  <c r="M13" i="29" l="1"/>
  <c r="M13" i="30"/>
  <c r="M30" i="30"/>
  <c r="M29" i="29"/>
  <c r="M22" i="10"/>
  <c r="G17" i="47"/>
  <c r="K17" i="47" s="1"/>
  <c r="M17" i="31"/>
  <c r="M16" i="31"/>
  <c r="M15" i="31"/>
  <c r="M14" i="31"/>
  <c r="M13" i="31"/>
  <c r="M12" i="31"/>
  <c r="M11" i="31"/>
  <c r="M10" i="31"/>
  <c r="M9" i="31"/>
  <c r="M8" i="31"/>
  <c r="M7" i="31"/>
  <c r="M6" i="31"/>
  <c r="M5" i="31"/>
  <c r="M17" i="32"/>
  <c r="M16" i="32"/>
  <c r="M15" i="32"/>
  <c r="M14" i="32"/>
  <c r="M13" i="32"/>
  <c r="M12" i="32"/>
  <c r="M11" i="32"/>
  <c r="M10" i="32"/>
  <c r="M9" i="32"/>
  <c r="M8" i="32"/>
  <c r="M7" i="32"/>
  <c r="M6" i="32"/>
  <c r="M5" i="32"/>
  <c r="M28" i="53"/>
  <c r="M27" i="53"/>
  <c r="M26" i="53"/>
  <c r="M25" i="53"/>
  <c r="M24" i="53"/>
  <c r="M23" i="53"/>
  <c r="M22" i="53"/>
  <c r="M21" i="53"/>
  <c r="M12" i="53"/>
  <c r="M11" i="53"/>
  <c r="M10" i="53"/>
  <c r="M9" i="53"/>
  <c r="M8" i="53"/>
  <c r="M7" i="53"/>
  <c r="M6" i="53"/>
  <c r="M5" i="53"/>
  <c r="M29" i="12"/>
  <c r="M28" i="12"/>
  <c r="M27" i="12"/>
  <c r="M26" i="12"/>
  <c r="M25" i="12"/>
  <c r="M24" i="12"/>
  <c r="M23" i="12"/>
  <c r="M22" i="12"/>
  <c r="M12" i="12"/>
  <c r="M11" i="12"/>
  <c r="M10" i="12"/>
  <c r="M9" i="12"/>
  <c r="M8" i="12"/>
  <c r="M7" i="12"/>
  <c r="M6" i="12"/>
  <c r="M5" i="12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5" i="58"/>
  <c r="M7" i="58"/>
  <c r="M8" i="58"/>
  <c r="M9" i="58"/>
  <c r="M10" i="58"/>
  <c r="M14" i="58"/>
  <c r="M15" i="58"/>
  <c r="M21" i="58"/>
  <c r="M20" i="58"/>
  <c r="M19" i="58"/>
  <c r="M18" i="58"/>
  <c r="M17" i="58"/>
  <c r="M16" i="58"/>
  <c r="M13" i="58"/>
  <c r="M12" i="58"/>
  <c r="M11" i="58"/>
  <c r="M6" i="58"/>
  <c r="M4" i="58"/>
  <c r="H28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3" i="12" l="1"/>
  <c r="M30" i="12"/>
  <c r="M13" i="53"/>
  <c r="M29" i="53"/>
  <c r="M18" i="8"/>
  <c r="M22" i="5"/>
  <c r="M19" i="9"/>
  <c r="M18" i="32"/>
  <c r="M22" i="4"/>
  <c r="M22" i="6"/>
  <c r="M18" i="31"/>
  <c r="M22" i="58"/>
  <c r="M22" i="3"/>
  <c r="M6" i="1"/>
  <c r="M5" i="1"/>
  <c r="M4" i="1"/>
  <c r="M22" i="1" s="1"/>
  <c r="C7" i="10" l="1"/>
  <c r="I24" i="47" l="1"/>
  <c r="F24" i="47"/>
  <c r="E24" i="47"/>
  <c r="G24" i="47" s="1"/>
  <c r="D24" i="47"/>
  <c r="C24" i="47"/>
  <c r="J18" i="47"/>
  <c r="H18" i="47"/>
  <c r="H13" i="17"/>
  <c r="H12" i="17"/>
  <c r="H28" i="10"/>
  <c r="H28" i="58"/>
  <c r="H28" i="5"/>
  <c r="H28" i="4"/>
  <c r="H28" i="3"/>
  <c r="H28" i="2"/>
  <c r="H28" i="1"/>
  <c r="K24" i="47" l="1"/>
  <c r="F28" i="2" l="1"/>
  <c r="J15" i="6" l="1"/>
  <c r="I20" i="6"/>
  <c r="C23" i="47" l="1"/>
  <c r="I21" i="47" l="1"/>
  <c r="F21" i="47"/>
  <c r="E21" i="47"/>
  <c r="D21" i="47"/>
  <c r="C21" i="47"/>
  <c r="E13" i="17"/>
  <c r="E12" i="17"/>
  <c r="E28" i="10"/>
  <c r="E28" i="58"/>
  <c r="E28" i="6"/>
  <c r="E28" i="5"/>
  <c r="F28" i="4"/>
  <c r="E28" i="4"/>
  <c r="E28" i="3"/>
  <c r="E28" i="2"/>
  <c r="E28" i="1"/>
  <c r="G7" i="1"/>
  <c r="G13" i="1"/>
  <c r="G21" i="47" l="1"/>
  <c r="J16" i="47" l="1"/>
  <c r="F16" i="47"/>
  <c r="E16" i="47"/>
  <c r="D16" i="47"/>
  <c r="C16" i="47"/>
  <c r="K34" i="34"/>
  <c r="K33" i="34"/>
  <c r="K32" i="34"/>
  <c r="K30" i="34"/>
  <c r="K29" i="34"/>
  <c r="K28" i="34"/>
  <c r="K26" i="34"/>
  <c r="K25" i="34"/>
  <c r="K24" i="34"/>
  <c r="K22" i="34"/>
  <c r="K21" i="34"/>
  <c r="K20" i="34"/>
  <c r="K18" i="34"/>
  <c r="K17" i="34"/>
  <c r="K16" i="34"/>
  <c r="K14" i="34"/>
  <c r="K13" i="34"/>
  <c r="K12" i="34"/>
  <c r="K10" i="34"/>
  <c r="K9" i="34"/>
  <c r="K8" i="34"/>
  <c r="K6" i="34"/>
  <c r="K5" i="34"/>
  <c r="K4" i="34"/>
  <c r="L7" i="17"/>
  <c r="L6" i="17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28" i="29"/>
  <c r="L27" i="29"/>
  <c r="L26" i="29"/>
  <c r="L25" i="29"/>
  <c r="L24" i="29"/>
  <c r="L23" i="29"/>
  <c r="L22" i="29"/>
  <c r="L21" i="29"/>
  <c r="L12" i="29"/>
  <c r="L11" i="29"/>
  <c r="L10" i="29"/>
  <c r="L9" i="29"/>
  <c r="L8" i="29"/>
  <c r="L7" i="29"/>
  <c r="L6" i="29"/>
  <c r="L5" i="29"/>
  <c r="L29" i="30"/>
  <c r="L28" i="30"/>
  <c r="L27" i="30"/>
  <c r="L26" i="30"/>
  <c r="L25" i="30"/>
  <c r="L24" i="30"/>
  <c r="L23" i="30"/>
  <c r="L22" i="30"/>
  <c r="L12" i="30"/>
  <c r="L11" i="30"/>
  <c r="L10" i="30"/>
  <c r="L9" i="30"/>
  <c r="L8" i="30"/>
  <c r="L7" i="30"/>
  <c r="L6" i="30"/>
  <c r="L5" i="30"/>
  <c r="L17" i="32"/>
  <c r="L16" i="32"/>
  <c r="L15" i="32"/>
  <c r="L14" i="32"/>
  <c r="L13" i="32"/>
  <c r="L12" i="32"/>
  <c r="L11" i="32"/>
  <c r="L10" i="32"/>
  <c r="L9" i="32"/>
  <c r="L8" i="32"/>
  <c r="L7" i="32"/>
  <c r="L6" i="32"/>
  <c r="L5" i="32"/>
  <c r="L28" i="53"/>
  <c r="L27" i="53"/>
  <c r="L26" i="53"/>
  <c r="L25" i="53"/>
  <c r="L24" i="53"/>
  <c r="L23" i="53"/>
  <c r="L22" i="53"/>
  <c r="L21" i="53"/>
  <c r="L12" i="53"/>
  <c r="L11" i="53"/>
  <c r="L10" i="53"/>
  <c r="L9" i="53"/>
  <c r="L8" i="53"/>
  <c r="L7" i="53"/>
  <c r="L6" i="53"/>
  <c r="L5" i="53"/>
  <c r="L29" i="12"/>
  <c r="L28" i="12"/>
  <c r="L27" i="12"/>
  <c r="L26" i="12"/>
  <c r="L25" i="12"/>
  <c r="L24" i="12"/>
  <c r="L23" i="12"/>
  <c r="L22" i="12"/>
  <c r="L12" i="12"/>
  <c r="L11" i="12"/>
  <c r="L10" i="12"/>
  <c r="L9" i="12"/>
  <c r="L8" i="12"/>
  <c r="L7" i="12"/>
  <c r="L6" i="12"/>
  <c r="L5" i="12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16" i="47" l="1"/>
  <c r="L22" i="1"/>
  <c r="J14" i="47"/>
  <c r="F14" i="47"/>
  <c r="E14" i="47"/>
  <c r="D14" i="47"/>
  <c r="C14" i="47"/>
  <c r="I34" i="34"/>
  <c r="I33" i="34"/>
  <c r="I32" i="34"/>
  <c r="I30" i="34"/>
  <c r="I29" i="34"/>
  <c r="I28" i="34"/>
  <c r="I26" i="34"/>
  <c r="I25" i="34"/>
  <c r="I24" i="34"/>
  <c r="I22" i="34"/>
  <c r="I21" i="34"/>
  <c r="I20" i="34"/>
  <c r="I18" i="34"/>
  <c r="I17" i="34"/>
  <c r="I16" i="34"/>
  <c r="I14" i="34"/>
  <c r="I13" i="34"/>
  <c r="I12" i="34"/>
  <c r="I10" i="34"/>
  <c r="I9" i="34"/>
  <c r="I8" i="34"/>
  <c r="I6" i="34"/>
  <c r="I5" i="34"/>
  <c r="I4" i="34"/>
  <c r="J7" i="17"/>
  <c r="J6" i="17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J28" i="29"/>
  <c r="J27" i="29"/>
  <c r="J26" i="29"/>
  <c r="J25" i="29"/>
  <c r="J24" i="29"/>
  <c r="J23" i="29"/>
  <c r="J22" i="29"/>
  <c r="J21" i="29"/>
  <c r="J12" i="29"/>
  <c r="J11" i="29"/>
  <c r="J10" i="29"/>
  <c r="J9" i="29"/>
  <c r="J8" i="29"/>
  <c r="J7" i="29"/>
  <c r="J6" i="29"/>
  <c r="J5" i="29"/>
  <c r="J29" i="30"/>
  <c r="J28" i="30"/>
  <c r="J27" i="30"/>
  <c r="J26" i="30"/>
  <c r="J25" i="30"/>
  <c r="J24" i="30"/>
  <c r="J23" i="30"/>
  <c r="J22" i="30"/>
  <c r="J12" i="30"/>
  <c r="J11" i="30"/>
  <c r="J10" i="30"/>
  <c r="J9" i="30"/>
  <c r="J8" i="30"/>
  <c r="J7" i="30"/>
  <c r="J6" i="30"/>
  <c r="J5" i="30"/>
  <c r="J17" i="32"/>
  <c r="J16" i="32"/>
  <c r="J15" i="32"/>
  <c r="J14" i="32"/>
  <c r="J13" i="32"/>
  <c r="J12" i="32"/>
  <c r="J11" i="32"/>
  <c r="J10" i="32"/>
  <c r="J9" i="32"/>
  <c r="J8" i="32"/>
  <c r="J7" i="32"/>
  <c r="J6" i="32"/>
  <c r="J5" i="32"/>
  <c r="J28" i="53"/>
  <c r="J27" i="53"/>
  <c r="J26" i="53"/>
  <c r="J25" i="53"/>
  <c r="J24" i="53"/>
  <c r="J23" i="53"/>
  <c r="J22" i="53"/>
  <c r="J21" i="53"/>
  <c r="J12" i="53"/>
  <c r="J11" i="53"/>
  <c r="J10" i="53"/>
  <c r="J9" i="53"/>
  <c r="J8" i="53"/>
  <c r="J7" i="53"/>
  <c r="J6" i="53"/>
  <c r="J5" i="53"/>
  <c r="J29" i="12"/>
  <c r="J28" i="12"/>
  <c r="J27" i="12"/>
  <c r="J26" i="12"/>
  <c r="J25" i="12"/>
  <c r="J24" i="12"/>
  <c r="J23" i="12"/>
  <c r="J22" i="12"/>
  <c r="J12" i="12"/>
  <c r="J11" i="12"/>
  <c r="J10" i="12"/>
  <c r="J9" i="12"/>
  <c r="J8" i="12"/>
  <c r="J7" i="12"/>
  <c r="J6" i="12"/>
  <c r="J5" i="12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J6" i="58"/>
  <c r="J5" i="58"/>
  <c r="J4" i="58"/>
  <c r="J21" i="6"/>
  <c r="J20" i="6"/>
  <c r="J19" i="6"/>
  <c r="J18" i="6"/>
  <c r="J17" i="6"/>
  <c r="J16" i="6"/>
  <c r="J14" i="6"/>
  <c r="J13" i="6"/>
  <c r="J12" i="6"/>
  <c r="J11" i="6"/>
  <c r="J10" i="6"/>
  <c r="J9" i="6"/>
  <c r="J8" i="6"/>
  <c r="J7" i="6"/>
  <c r="J6" i="6"/>
  <c r="J5" i="6"/>
  <c r="J4" i="6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13" i="47"/>
  <c r="F13" i="47"/>
  <c r="E13" i="47"/>
  <c r="D13" i="47"/>
  <c r="C13" i="47"/>
  <c r="H34" i="34"/>
  <c r="H33" i="34"/>
  <c r="H32" i="34"/>
  <c r="H30" i="34"/>
  <c r="H29" i="34"/>
  <c r="H28" i="34"/>
  <c r="H26" i="34"/>
  <c r="H25" i="34"/>
  <c r="H24" i="34"/>
  <c r="H22" i="34"/>
  <c r="H21" i="34"/>
  <c r="H20" i="34"/>
  <c r="H18" i="34"/>
  <c r="H17" i="34"/>
  <c r="H16" i="34"/>
  <c r="H14" i="34"/>
  <c r="H13" i="34"/>
  <c r="H12" i="34"/>
  <c r="H10" i="34"/>
  <c r="H9" i="34"/>
  <c r="H8" i="34"/>
  <c r="H6" i="34"/>
  <c r="H5" i="34"/>
  <c r="H4" i="34"/>
  <c r="I7" i="17"/>
  <c r="I6" i="17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28" i="29"/>
  <c r="I27" i="29"/>
  <c r="I26" i="29"/>
  <c r="I25" i="29"/>
  <c r="I24" i="29"/>
  <c r="I23" i="29"/>
  <c r="I22" i="29"/>
  <c r="I21" i="29"/>
  <c r="I12" i="29"/>
  <c r="I11" i="29"/>
  <c r="I10" i="29"/>
  <c r="I9" i="29"/>
  <c r="I8" i="29"/>
  <c r="I7" i="29"/>
  <c r="I6" i="29"/>
  <c r="I5" i="29"/>
  <c r="I29" i="30"/>
  <c r="I28" i="30"/>
  <c r="I27" i="30"/>
  <c r="I26" i="30"/>
  <c r="I25" i="30"/>
  <c r="I24" i="30"/>
  <c r="I23" i="30"/>
  <c r="I22" i="30"/>
  <c r="I12" i="30"/>
  <c r="I11" i="30"/>
  <c r="I10" i="30"/>
  <c r="I9" i="30"/>
  <c r="I8" i="30"/>
  <c r="I7" i="30"/>
  <c r="I6" i="30"/>
  <c r="I5" i="30"/>
  <c r="I17" i="32"/>
  <c r="I16" i="32"/>
  <c r="I15" i="32"/>
  <c r="I14" i="32"/>
  <c r="I13" i="32"/>
  <c r="I12" i="32"/>
  <c r="I11" i="32"/>
  <c r="I10" i="32"/>
  <c r="I9" i="32"/>
  <c r="I8" i="32"/>
  <c r="I7" i="32"/>
  <c r="I6" i="32"/>
  <c r="I5" i="32"/>
  <c r="I28" i="53"/>
  <c r="I27" i="53"/>
  <c r="I26" i="53"/>
  <c r="I25" i="53"/>
  <c r="I24" i="53"/>
  <c r="I23" i="53"/>
  <c r="I22" i="53"/>
  <c r="I21" i="53"/>
  <c r="I12" i="53"/>
  <c r="I11" i="53"/>
  <c r="I10" i="53"/>
  <c r="I9" i="53"/>
  <c r="I8" i="53"/>
  <c r="I7" i="53"/>
  <c r="I6" i="53"/>
  <c r="I5" i="53"/>
  <c r="I29" i="12"/>
  <c r="I28" i="12"/>
  <c r="I27" i="12"/>
  <c r="I26" i="12"/>
  <c r="I25" i="12"/>
  <c r="I24" i="12"/>
  <c r="I23" i="12"/>
  <c r="I22" i="12"/>
  <c r="I12" i="12"/>
  <c r="I11" i="12"/>
  <c r="I10" i="12"/>
  <c r="I9" i="12"/>
  <c r="I8" i="12"/>
  <c r="I7" i="12"/>
  <c r="I6" i="12"/>
  <c r="I5" i="12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21" i="58"/>
  <c r="I20" i="58"/>
  <c r="I19" i="58"/>
  <c r="I18" i="58"/>
  <c r="I17" i="58"/>
  <c r="I16" i="58"/>
  <c r="I15" i="58"/>
  <c r="I14" i="58"/>
  <c r="I13" i="58"/>
  <c r="I12" i="58"/>
  <c r="I11" i="58"/>
  <c r="I10" i="58"/>
  <c r="I9" i="58"/>
  <c r="I8" i="58"/>
  <c r="I7" i="58"/>
  <c r="I6" i="58"/>
  <c r="I5" i="58"/>
  <c r="I4" i="58"/>
  <c r="I21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G14" i="34"/>
  <c r="G10" i="34"/>
  <c r="H7" i="17"/>
  <c r="H6" i="17"/>
  <c r="H6" i="1"/>
  <c r="H5" i="1"/>
  <c r="H4" i="1"/>
  <c r="J11" i="47"/>
  <c r="G4" i="1"/>
  <c r="J22" i="1" l="1"/>
  <c r="G13" i="47"/>
  <c r="I22" i="1"/>
  <c r="G14" i="47"/>
  <c r="J30" i="12"/>
  <c r="K13" i="47"/>
  <c r="F4" i="1"/>
  <c r="G28" i="1"/>
  <c r="I22" i="47"/>
  <c r="F22" i="47"/>
  <c r="E22" i="47"/>
  <c r="D22" i="47"/>
  <c r="C22" i="47"/>
  <c r="F13" i="17"/>
  <c r="F12" i="17"/>
  <c r="F28" i="10"/>
  <c r="F28" i="58"/>
  <c r="F28" i="6"/>
  <c r="F28" i="5"/>
  <c r="F28" i="3"/>
  <c r="F28" i="1"/>
  <c r="G22" i="47" l="1"/>
  <c r="I20" i="47"/>
  <c r="F20" i="47"/>
  <c r="E20" i="47"/>
  <c r="D20" i="47"/>
  <c r="C20" i="47"/>
  <c r="D13" i="17"/>
  <c r="D12" i="17"/>
  <c r="D28" i="10"/>
  <c r="D28" i="58"/>
  <c r="D28" i="6"/>
  <c r="D28" i="5"/>
  <c r="D28" i="4"/>
  <c r="D28" i="3"/>
  <c r="D28" i="2"/>
  <c r="D28" i="1"/>
  <c r="J9" i="47"/>
  <c r="F9" i="47"/>
  <c r="E9" i="47"/>
  <c r="D9" i="47"/>
  <c r="C9" i="47"/>
  <c r="D34" i="34"/>
  <c r="D33" i="34"/>
  <c r="D32" i="34"/>
  <c r="D30" i="34"/>
  <c r="D29" i="34"/>
  <c r="D28" i="34"/>
  <c r="D26" i="34"/>
  <c r="D25" i="34"/>
  <c r="D24" i="34"/>
  <c r="D22" i="34"/>
  <c r="D21" i="34"/>
  <c r="D20" i="34"/>
  <c r="D18" i="34"/>
  <c r="D17" i="34"/>
  <c r="D16" i="34"/>
  <c r="D14" i="34"/>
  <c r="D13" i="34"/>
  <c r="D12" i="34"/>
  <c r="D10" i="34"/>
  <c r="D9" i="34"/>
  <c r="D8" i="34"/>
  <c r="D6" i="34"/>
  <c r="D5" i="34"/>
  <c r="D4" i="34"/>
  <c r="E7" i="17"/>
  <c r="E6" i="17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28" i="29"/>
  <c r="E27" i="29"/>
  <c r="E26" i="29"/>
  <c r="E25" i="29"/>
  <c r="E24" i="29"/>
  <c r="E23" i="29"/>
  <c r="E22" i="29"/>
  <c r="E21" i="29"/>
  <c r="E12" i="29"/>
  <c r="E11" i="29"/>
  <c r="E10" i="29"/>
  <c r="E9" i="29"/>
  <c r="E8" i="29"/>
  <c r="E7" i="29"/>
  <c r="E6" i="29"/>
  <c r="E5" i="29"/>
  <c r="E29" i="30"/>
  <c r="E28" i="30"/>
  <c r="E27" i="30"/>
  <c r="E26" i="30"/>
  <c r="E25" i="30"/>
  <c r="E24" i="30"/>
  <c r="E23" i="30"/>
  <c r="E22" i="30"/>
  <c r="E12" i="30"/>
  <c r="E11" i="30"/>
  <c r="E10" i="30"/>
  <c r="E9" i="30"/>
  <c r="E8" i="30"/>
  <c r="E7" i="30"/>
  <c r="E6" i="30"/>
  <c r="E5" i="30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28" i="53"/>
  <c r="E27" i="53"/>
  <c r="E26" i="53"/>
  <c r="E25" i="53"/>
  <c r="E24" i="53"/>
  <c r="E23" i="53"/>
  <c r="E22" i="53"/>
  <c r="E21" i="53"/>
  <c r="E12" i="53"/>
  <c r="E11" i="53"/>
  <c r="E10" i="53"/>
  <c r="E9" i="53"/>
  <c r="E8" i="53"/>
  <c r="E7" i="53"/>
  <c r="E6" i="53"/>
  <c r="E5" i="53"/>
  <c r="E29" i="12"/>
  <c r="E28" i="12"/>
  <c r="E27" i="12"/>
  <c r="E26" i="12"/>
  <c r="E25" i="12"/>
  <c r="E24" i="12"/>
  <c r="E23" i="12"/>
  <c r="E22" i="12"/>
  <c r="E12" i="12"/>
  <c r="E11" i="12"/>
  <c r="E10" i="12"/>
  <c r="E9" i="12"/>
  <c r="E8" i="12"/>
  <c r="E7" i="12"/>
  <c r="E6" i="12"/>
  <c r="E5" i="12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E7" i="58"/>
  <c r="E6" i="58"/>
  <c r="E5" i="58"/>
  <c r="E4" i="58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1" i="1"/>
  <c r="E20" i="1"/>
  <c r="E19" i="1"/>
  <c r="E18" i="1"/>
  <c r="E17" i="1"/>
  <c r="E16" i="1"/>
  <c r="E15" i="1"/>
  <c r="E14" i="1"/>
  <c r="E13" i="1"/>
  <c r="E12" i="1"/>
  <c r="J8" i="47"/>
  <c r="F8" i="47"/>
  <c r="E8" i="47"/>
  <c r="D8" i="47"/>
  <c r="C8" i="47"/>
  <c r="C34" i="34"/>
  <c r="C33" i="34"/>
  <c r="C32" i="34"/>
  <c r="C30" i="34"/>
  <c r="C29" i="34"/>
  <c r="C28" i="34"/>
  <c r="C26" i="34"/>
  <c r="C25" i="34"/>
  <c r="C24" i="34"/>
  <c r="C22" i="34"/>
  <c r="C21" i="34"/>
  <c r="C20" i="34"/>
  <c r="C18" i="34"/>
  <c r="C17" i="34"/>
  <c r="C16" i="34"/>
  <c r="C14" i="34"/>
  <c r="C13" i="34"/>
  <c r="C12" i="34"/>
  <c r="C10" i="34"/>
  <c r="C9" i="34"/>
  <c r="C8" i="34"/>
  <c r="C6" i="34"/>
  <c r="C5" i="34"/>
  <c r="C4" i="34"/>
  <c r="D7" i="17"/>
  <c r="D6" i="17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28" i="29"/>
  <c r="D27" i="29"/>
  <c r="D26" i="29"/>
  <c r="D25" i="29"/>
  <c r="D24" i="29"/>
  <c r="D23" i="29"/>
  <c r="D22" i="29"/>
  <c r="D21" i="29"/>
  <c r="D12" i="29"/>
  <c r="D11" i="29"/>
  <c r="D10" i="29"/>
  <c r="D9" i="29"/>
  <c r="D8" i="29"/>
  <c r="D7" i="29"/>
  <c r="D6" i="29"/>
  <c r="D5" i="29"/>
  <c r="D29" i="30"/>
  <c r="D28" i="30"/>
  <c r="D27" i="30"/>
  <c r="D26" i="30"/>
  <c r="D25" i="30"/>
  <c r="D24" i="30"/>
  <c r="D23" i="30"/>
  <c r="D22" i="30"/>
  <c r="D12" i="30"/>
  <c r="D11" i="30"/>
  <c r="D10" i="30"/>
  <c r="D9" i="30"/>
  <c r="D8" i="30"/>
  <c r="D7" i="30"/>
  <c r="D6" i="30"/>
  <c r="D5" i="30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D17" i="32"/>
  <c r="D16" i="32"/>
  <c r="D15" i="32"/>
  <c r="D14" i="32"/>
  <c r="D13" i="32"/>
  <c r="D12" i="32"/>
  <c r="D11" i="32"/>
  <c r="D10" i="32"/>
  <c r="D9" i="32"/>
  <c r="D8" i="32"/>
  <c r="D7" i="32"/>
  <c r="D6" i="32"/>
  <c r="D5" i="32"/>
  <c r="D28" i="53"/>
  <c r="D27" i="53"/>
  <c r="D26" i="53"/>
  <c r="D25" i="53"/>
  <c r="D24" i="53"/>
  <c r="D23" i="53"/>
  <c r="D22" i="53"/>
  <c r="D21" i="53"/>
  <c r="D12" i="53"/>
  <c r="D11" i="53"/>
  <c r="D10" i="53"/>
  <c r="D9" i="53"/>
  <c r="D8" i="53"/>
  <c r="D7" i="53"/>
  <c r="D6" i="53"/>
  <c r="D5" i="53"/>
  <c r="D29" i="12"/>
  <c r="D28" i="12"/>
  <c r="D27" i="12"/>
  <c r="D26" i="12"/>
  <c r="D25" i="12"/>
  <c r="D24" i="12"/>
  <c r="D23" i="12"/>
  <c r="D22" i="12"/>
  <c r="D12" i="12"/>
  <c r="D11" i="12"/>
  <c r="D10" i="12"/>
  <c r="D9" i="12"/>
  <c r="D8" i="12"/>
  <c r="D7" i="12"/>
  <c r="D6" i="12"/>
  <c r="D5" i="12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8" i="58"/>
  <c r="D7" i="58"/>
  <c r="D6" i="58"/>
  <c r="D5" i="58"/>
  <c r="D4" i="58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6" i="4"/>
  <c r="D21" i="4"/>
  <c r="D20" i="4"/>
  <c r="D19" i="4"/>
  <c r="D18" i="4"/>
  <c r="D17" i="4"/>
  <c r="D15" i="4"/>
  <c r="D14" i="4"/>
  <c r="D13" i="4"/>
  <c r="D12" i="4"/>
  <c r="D11" i="4"/>
  <c r="D10" i="4"/>
  <c r="D9" i="4"/>
  <c r="D8" i="4"/>
  <c r="D7" i="4"/>
  <c r="D6" i="4"/>
  <c r="D5" i="4"/>
  <c r="D4" i="4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G20" i="47" l="1"/>
  <c r="K20" i="47" s="1"/>
  <c r="G8" i="47"/>
  <c r="G9" i="47"/>
  <c r="G12" i="57"/>
  <c r="G10" i="57"/>
  <c r="G9" i="57" l="1"/>
  <c r="G11" i="57" s="1"/>
  <c r="C4" i="1" l="1"/>
  <c r="E11" i="1" l="1"/>
  <c r="E10" i="1"/>
  <c r="E9" i="1"/>
  <c r="E8" i="1"/>
  <c r="E7" i="1"/>
  <c r="E6" i="1"/>
  <c r="E5" i="1"/>
  <c r="E4" i="1"/>
  <c r="E22" i="2"/>
  <c r="F12" i="57" l="1"/>
  <c r="F10" i="57"/>
  <c r="F9" i="57"/>
  <c r="E12" i="57"/>
  <c r="E10" i="57"/>
  <c r="E9" i="57"/>
  <c r="D12" i="57"/>
  <c r="D10" i="57"/>
  <c r="D9" i="57"/>
  <c r="F11" i="57" l="1"/>
  <c r="D11" i="57"/>
  <c r="E11" i="57"/>
  <c r="K30" i="30" l="1"/>
  <c r="K13" i="30"/>
  <c r="K13" i="29"/>
  <c r="K29" i="29"/>
  <c r="K22" i="10"/>
  <c r="K29" i="53"/>
  <c r="K13" i="53"/>
  <c r="K18" i="32"/>
  <c r="K22" i="1" l="1"/>
  <c r="K13" i="12"/>
  <c r="K22" i="4"/>
  <c r="K22" i="6"/>
  <c r="K18" i="8"/>
  <c r="K22" i="3"/>
  <c r="K19" i="9"/>
  <c r="K22" i="5"/>
  <c r="K22" i="58"/>
  <c r="K30" i="12"/>
  <c r="K15" i="47" l="1"/>
  <c r="G34" i="34"/>
  <c r="G30" i="34"/>
  <c r="G26" i="34"/>
  <c r="G22" i="34"/>
  <c r="G18" i="34"/>
  <c r="J12" i="47" l="1"/>
  <c r="F12" i="47"/>
  <c r="E12" i="47"/>
  <c r="D12" i="47"/>
  <c r="C12" i="47"/>
  <c r="G33" i="34"/>
  <c r="G32" i="34"/>
  <c r="G29" i="34"/>
  <c r="G28" i="34"/>
  <c r="G25" i="34"/>
  <c r="G24" i="34"/>
  <c r="G21" i="34"/>
  <c r="G20" i="34"/>
  <c r="G17" i="34"/>
  <c r="G16" i="34"/>
  <c r="G13" i="34"/>
  <c r="G12" i="34"/>
  <c r="G9" i="34"/>
  <c r="G8" i="34"/>
  <c r="G5" i="34"/>
  <c r="G4" i="34"/>
  <c r="G12" i="47" l="1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28" i="29"/>
  <c r="H27" i="29"/>
  <c r="H26" i="29"/>
  <c r="H25" i="29"/>
  <c r="H24" i="29"/>
  <c r="H23" i="29"/>
  <c r="H22" i="29"/>
  <c r="H21" i="29"/>
  <c r="H12" i="29"/>
  <c r="H11" i="29"/>
  <c r="H10" i="29"/>
  <c r="H9" i="29"/>
  <c r="H8" i="29"/>
  <c r="H7" i="29"/>
  <c r="H6" i="29"/>
  <c r="H5" i="29"/>
  <c r="H29" i="30"/>
  <c r="H28" i="30"/>
  <c r="H27" i="30"/>
  <c r="H26" i="30"/>
  <c r="H25" i="30"/>
  <c r="H24" i="30"/>
  <c r="H23" i="30"/>
  <c r="H22" i="30"/>
  <c r="H12" i="30"/>
  <c r="H11" i="30"/>
  <c r="H10" i="30"/>
  <c r="H9" i="30"/>
  <c r="H8" i="30"/>
  <c r="H7" i="30"/>
  <c r="H6" i="30"/>
  <c r="H5" i="30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H28" i="53"/>
  <c r="H27" i="53"/>
  <c r="H26" i="53"/>
  <c r="H25" i="53"/>
  <c r="H24" i="53"/>
  <c r="H23" i="53"/>
  <c r="H22" i="53"/>
  <c r="H21" i="53"/>
  <c r="H12" i="53"/>
  <c r="H11" i="53"/>
  <c r="H10" i="53"/>
  <c r="H9" i="53"/>
  <c r="H8" i="53"/>
  <c r="H7" i="53"/>
  <c r="H6" i="53"/>
  <c r="H5" i="53"/>
  <c r="H29" i="12"/>
  <c r="H28" i="12"/>
  <c r="H27" i="12"/>
  <c r="H26" i="12"/>
  <c r="H25" i="12"/>
  <c r="H24" i="12"/>
  <c r="H23" i="12"/>
  <c r="H22" i="12"/>
  <c r="H12" i="12"/>
  <c r="H11" i="12"/>
  <c r="H10" i="12"/>
  <c r="H9" i="12"/>
  <c r="H8" i="12"/>
  <c r="H7" i="12"/>
  <c r="H6" i="12"/>
  <c r="H5" i="12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C28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6" i="58"/>
  <c r="H5" i="58"/>
  <c r="H4" i="58"/>
  <c r="H22" i="1" l="1"/>
  <c r="G28" i="58"/>
  <c r="C28" i="58" l="1"/>
  <c r="I28" i="58" l="1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G4" i="58"/>
  <c r="F30" i="58" l="1"/>
  <c r="M28" i="58"/>
  <c r="H30" i="58"/>
  <c r="I30" i="58"/>
  <c r="E30" i="58"/>
  <c r="D30" i="58"/>
  <c r="G30" i="58"/>
  <c r="C30" i="58"/>
  <c r="F21" i="58"/>
  <c r="F20" i="58"/>
  <c r="F19" i="58"/>
  <c r="F18" i="58"/>
  <c r="F17" i="58"/>
  <c r="F16" i="58"/>
  <c r="F15" i="58"/>
  <c r="F14" i="58"/>
  <c r="F12" i="58"/>
  <c r="F13" i="58"/>
  <c r="F11" i="58"/>
  <c r="F10" i="58"/>
  <c r="F9" i="58"/>
  <c r="F8" i="58"/>
  <c r="F7" i="58"/>
  <c r="F6" i="58"/>
  <c r="F5" i="58"/>
  <c r="F4" i="58"/>
  <c r="E22" i="58"/>
  <c r="D22" i="58"/>
  <c r="C21" i="58"/>
  <c r="N21" i="58" s="1"/>
  <c r="C20" i="58"/>
  <c r="N20" i="58" s="1"/>
  <c r="C19" i="58"/>
  <c r="N19" i="58" s="1"/>
  <c r="C18" i="58"/>
  <c r="C17" i="58"/>
  <c r="N17" i="58" s="1"/>
  <c r="C16" i="58"/>
  <c r="N16" i="58" s="1"/>
  <c r="C15" i="58"/>
  <c r="N15" i="58" s="1"/>
  <c r="C14" i="58"/>
  <c r="C13" i="58"/>
  <c r="C12" i="58"/>
  <c r="N12" i="58" s="1"/>
  <c r="C11" i="58"/>
  <c r="N11" i="58" s="1"/>
  <c r="C10" i="58"/>
  <c r="C9" i="58"/>
  <c r="N9" i="58" s="1"/>
  <c r="C8" i="58"/>
  <c r="N8" i="58" s="1"/>
  <c r="C7" i="58"/>
  <c r="N7" i="58" s="1"/>
  <c r="C6" i="58"/>
  <c r="C5" i="58"/>
  <c r="N5" i="58" s="1"/>
  <c r="C4" i="58"/>
  <c r="N4" i="58" s="1"/>
  <c r="J22" i="58"/>
  <c r="N13" i="58" l="1"/>
  <c r="N18" i="58"/>
  <c r="N6" i="58"/>
  <c r="N10" i="58"/>
  <c r="N14" i="58"/>
  <c r="I22" i="58"/>
  <c r="H22" i="58"/>
  <c r="L22" i="58"/>
  <c r="G22" i="58"/>
  <c r="F22" i="58"/>
  <c r="C22" i="58"/>
  <c r="N22" i="58" l="1"/>
  <c r="F11" i="47"/>
  <c r="E11" i="47"/>
  <c r="D11" i="47"/>
  <c r="C11" i="47"/>
  <c r="F34" i="34"/>
  <c r="F33" i="34"/>
  <c r="F32" i="34"/>
  <c r="F30" i="34"/>
  <c r="F29" i="34"/>
  <c r="F28" i="34"/>
  <c r="F26" i="34"/>
  <c r="F25" i="34"/>
  <c r="F24" i="34"/>
  <c r="F22" i="34"/>
  <c r="F21" i="34"/>
  <c r="F20" i="34"/>
  <c r="F18" i="34"/>
  <c r="F17" i="34"/>
  <c r="F16" i="34"/>
  <c r="F14" i="34"/>
  <c r="F13" i="34"/>
  <c r="F12" i="34"/>
  <c r="F10" i="34"/>
  <c r="F9" i="34"/>
  <c r="F8" i="34"/>
  <c r="F6" i="34"/>
  <c r="F5" i="34"/>
  <c r="F4" i="34"/>
  <c r="G7" i="17"/>
  <c r="G6" i="17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28" i="29"/>
  <c r="G27" i="29"/>
  <c r="G26" i="29"/>
  <c r="G25" i="29"/>
  <c r="G24" i="29"/>
  <c r="G23" i="29"/>
  <c r="G22" i="29"/>
  <c r="G21" i="29"/>
  <c r="G12" i="29"/>
  <c r="G11" i="29"/>
  <c r="G10" i="29"/>
  <c r="G9" i="29"/>
  <c r="G8" i="29"/>
  <c r="G7" i="29"/>
  <c r="G6" i="29"/>
  <c r="G5" i="29"/>
  <c r="G29" i="30"/>
  <c r="G28" i="30"/>
  <c r="G27" i="30"/>
  <c r="G26" i="30"/>
  <c r="G25" i="30"/>
  <c r="G24" i="30"/>
  <c r="G23" i="30"/>
  <c r="G22" i="30"/>
  <c r="G12" i="30"/>
  <c r="G11" i="30"/>
  <c r="G10" i="30"/>
  <c r="G9" i="30"/>
  <c r="G8" i="30"/>
  <c r="G7" i="30"/>
  <c r="G6" i="30"/>
  <c r="G5" i="30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28" i="53"/>
  <c r="G27" i="53"/>
  <c r="G26" i="53"/>
  <c r="G25" i="53"/>
  <c r="G24" i="53"/>
  <c r="G23" i="53"/>
  <c r="G22" i="53"/>
  <c r="G21" i="53"/>
  <c r="G12" i="53"/>
  <c r="G11" i="53"/>
  <c r="G10" i="53"/>
  <c r="G9" i="53"/>
  <c r="G8" i="53"/>
  <c r="G7" i="53"/>
  <c r="G6" i="53"/>
  <c r="G5" i="53"/>
  <c r="G29" i="12"/>
  <c r="G28" i="12"/>
  <c r="G27" i="12"/>
  <c r="G26" i="12"/>
  <c r="G25" i="12"/>
  <c r="G24" i="12"/>
  <c r="G23" i="12"/>
  <c r="G22" i="12"/>
  <c r="G12" i="12"/>
  <c r="G11" i="12"/>
  <c r="G10" i="12"/>
  <c r="G9" i="12"/>
  <c r="G8" i="12"/>
  <c r="G7" i="12"/>
  <c r="G6" i="12"/>
  <c r="G5" i="12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17" i="8"/>
  <c r="G16" i="8"/>
  <c r="G15" i="8"/>
  <c r="G14" i="8"/>
  <c r="G13" i="8"/>
  <c r="G12" i="8"/>
  <c r="G11" i="8"/>
  <c r="G10" i="8"/>
  <c r="G9" i="8"/>
  <c r="G8" i="8"/>
  <c r="G7" i="8"/>
  <c r="G6" i="8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6" i="1"/>
  <c r="G5" i="1"/>
  <c r="G22" i="1" l="1"/>
  <c r="J24" i="58"/>
  <c r="M24" i="58"/>
  <c r="I24" i="58"/>
  <c r="D24" i="58"/>
  <c r="C24" i="58"/>
  <c r="E24" i="58"/>
  <c r="G24" i="58"/>
  <c r="F24" i="58"/>
  <c r="H24" i="58"/>
  <c r="K24" i="58"/>
  <c r="L24" i="58"/>
  <c r="M27" i="58"/>
  <c r="M29" i="58" s="1"/>
  <c r="N29" i="58" s="1"/>
  <c r="G11" i="47"/>
  <c r="N24" i="58" l="1"/>
  <c r="N27" i="58"/>
  <c r="N28" i="58"/>
  <c r="E22" i="1" l="1"/>
  <c r="E22" i="5"/>
  <c r="I22" i="4" l="1"/>
  <c r="I22" i="6"/>
  <c r="I22" i="3"/>
  <c r="I22" i="5"/>
  <c r="H22" i="3" l="1"/>
  <c r="H30" i="12"/>
  <c r="K16" i="47" l="1"/>
  <c r="N4" i="1" l="1"/>
  <c r="J10" i="47"/>
  <c r="F10" i="47"/>
  <c r="E10" i="47"/>
  <c r="D10" i="47"/>
  <c r="C10" i="47"/>
  <c r="E34" i="34"/>
  <c r="E33" i="34"/>
  <c r="E32" i="34"/>
  <c r="E30" i="34"/>
  <c r="E29" i="34"/>
  <c r="E28" i="34"/>
  <c r="E26" i="34"/>
  <c r="E25" i="34"/>
  <c r="E24" i="34"/>
  <c r="E22" i="34"/>
  <c r="E21" i="34"/>
  <c r="E20" i="34"/>
  <c r="E18" i="34"/>
  <c r="E17" i="34"/>
  <c r="E16" i="34"/>
  <c r="E14" i="34"/>
  <c r="E13" i="34"/>
  <c r="E12" i="34"/>
  <c r="E10" i="34"/>
  <c r="E9" i="34"/>
  <c r="E8" i="34"/>
  <c r="E6" i="34"/>
  <c r="E5" i="34"/>
  <c r="E4" i="34"/>
  <c r="F7" i="17"/>
  <c r="F6" i="17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N7" i="10" s="1"/>
  <c r="F6" i="10"/>
  <c r="F5" i="10"/>
  <c r="F4" i="10"/>
  <c r="F28" i="29"/>
  <c r="F27" i="29"/>
  <c r="F26" i="29"/>
  <c r="F25" i="29"/>
  <c r="F24" i="29"/>
  <c r="F23" i="29"/>
  <c r="F22" i="29"/>
  <c r="F21" i="29"/>
  <c r="F12" i="29"/>
  <c r="F11" i="29"/>
  <c r="F10" i="29"/>
  <c r="F9" i="29"/>
  <c r="F8" i="29"/>
  <c r="F7" i="29"/>
  <c r="F6" i="29"/>
  <c r="F5" i="29"/>
  <c r="F29" i="30"/>
  <c r="F28" i="30"/>
  <c r="F27" i="30"/>
  <c r="F26" i="30"/>
  <c r="F25" i="30"/>
  <c r="F24" i="30"/>
  <c r="F23" i="30"/>
  <c r="F22" i="30"/>
  <c r="F12" i="30"/>
  <c r="F11" i="30"/>
  <c r="F10" i="30"/>
  <c r="F9" i="30"/>
  <c r="F8" i="30"/>
  <c r="F7" i="30"/>
  <c r="F6" i="30"/>
  <c r="F5" i="30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F28" i="53"/>
  <c r="F27" i="53"/>
  <c r="F26" i="53"/>
  <c r="F25" i="53"/>
  <c r="F24" i="53"/>
  <c r="F23" i="53"/>
  <c r="F22" i="53"/>
  <c r="F21" i="53"/>
  <c r="F12" i="53"/>
  <c r="F11" i="53"/>
  <c r="F10" i="53"/>
  <c r="F9" i="53"/>
  <c r="F8" i="53"/>
  <c r="F7" i="53"/>
  <c r="F6" i="53"/>
  <c r="F5" i="53"/>
  <c r="F29" i="12"/>
  <c r="F28" i="12"/>
  <c r="F27" i="12"/>
  <c r="F26" i="12"/>
  <c r="F25" i="12"/>
  <c r="F24" i="12"/>
  <c r="F23" i="12"/>
  <c r="F22" i="12"/>
  <c r="F12" i="12"/>
  <c r="F11" i="12"/>
  <c r="F10" i="12"/>
  <c r="F9" i="12"/>
  <c r="F8" i="12"/>
  <c r="F7" i="12"/>
  <c r="F6" i="12"/>
  <c r="F5" i="12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0" i="30" l="1"/>
  <c r="F22" i="1"/>
  <c r="F22" i="3"/>
  <c r="G10" i="47"/>
  <c r="K8" i="47" l="1"/>
  <c r="J7" i="47"/>
  <c r="J6" i="47" s="1"/>
  <c r="F7" i="47"/>
  <c r="F6" i="47" s="1"/>
  <c r="E7" i="47"/>
  <c r="E6" i="47" s="1"/>
  <c r="D7" i="47"/>
  <c r="D6" i="47" s="1"/>
  <c r="C7" i="47"/>
  <c r="C6" i="47" s="1"/>
  <c r="B34" i="34"/>
  <c r="M34" i="34" s="1"/>
  <c r="B33" i="34"/>
  <c r="M33" i="34" s="1"/>
  <c r="B32" i="34"/>
  <c r="M32" i="34" s="1"/>
  <c r="B30" i="34"/>
  <c r="M30" i="34" s="1"/>
  <c r="B29" i="34"/>
  <c r="M29" i="34" s="1"/>
  <c r="B28" i="34"/>
  <c r="M28" i="34" s="1"/>
  <c r="B26" i="34"/>
  <c r="M26" i="34" s="1"/>
  <c r="B25" i="34"/>
  <c r="M25" i="34" s="1"/>
  <c r="B24" i="34"/>
  <c r="M24" i="34" s="1"/>
  <c r="B22" i="34"/>
  <c r="M22" i="34" s="1"/>
  <c r="B21" i="34"/>
  <c r="M21" i="34" s="1"/>
  <c r="B20" i="34"/>
  <c r="M20" i="34" s="1"/>
  <c r="B18" i="34"/>
  <c r="M18" i="34" s="1"/>
  <c r="B17" i="34"/>
  <c r="M17" i="34" s="1"/>
  <c r="B16" i="34"/>
  <c r="M16" i="34" s="1"/>
  <c r="B14" i="34"/>
  <c r="M14" i="34" s="1"/>
  <c r="B13" i="34"/>
  <c r="M13" i="34" s="1"/>
  <c r="B12" i="34"/>
  <c r="M12" i="34" s="1"/>
  <c r="B10" i="34"/>
  <c r="M10" i="34" s="1"/>
  <c r="B9" i="34"/>
  <c r="M9" i="34" s="1"/>
  <c r="B8" i="34"/>
  <c r="M8" i="34" s="1"/>
  <c r="B6" i="34"/>
  <c r="M6" i="34" s="1"/>
  <c r="B5" i="34"/>
  <c r="M5" i="34" s="1"/>
  <c r="B4" i="34"/>
  <c r="M4" i="34" s="1"/>
  <c r="C7" i="17"/>
  <c r="N7" i="17" s="1"/>
  <c r="C6" i="17"/>
  <c r="N6" i="17" s="1"/>
  <c r="C21" i="10"/>
  <c r="N21" i="10" s="1"/>
  <c r="C20" i="10"/>
  <c r="N20" i="10" s="1"/>
  <c r="C19" i="10"/>
  <c r="N19" i="10" s="1"/>
  <c r="C18" i="10"/>
  <c r="N18" i="10" s="1"/>
  <c r="C17" i="10"/>
  <c r="N17" i="10" s="1"/>
  <c r="C16" i="10"/>
  <c r="N16" i="10" s="1"/>
  <c r="C15" i="10"/>
  <c r="N15" i="10" s="1"/>
  <c r="C14" i="10"/>
  <c r="N14" i="10" s="1"/>
  <c r="C13" i="10"/>
  <c r="N13" i="10" s="1"/>
  <c r="C12" i="10"/>
  <c r="N12" i="10" s="1"/>
  <c r="C11" i="10"/>
  <c r="N11" i="10" s="1"/>
  <c r="C10" i="10"/>
  <c r="N10" i="10" s="1"/>
  <c r="C9" i="10"/>
  <c r="N9" i="10" s="1"/>
  <c r="C8" i="10"/>
  <c r="N8" i="10" s="1"/>
  <c r="C6" i="10"/>
  <c r="N6" i="10" s="1"/>
  <c r="C5" i="10"/>
  <c r="N5" i="10" s="1"/>
  <c r="C4" i="10"/>
  <c r="N4" i="10" s="1"/>
  <c r="C28" i="29"/>
  <c r="N28" i="29" s="1"/>
  <c r="C27" i="29"/>
  <c r="N27" i="29" s="1"/>
  <c r="C26" i="29"/>
  <c r="N26" i="29" s="1"/>
  <c r="C25" i="29"/>
  <c r="N25" i="29" s="1"/>
  <c r="C24" i="29"/>
  <c r="N24" i="29" s="1"/>
  <c r="C23" i="29"/>
  <c r="N23" i="29" s="1"/>
  <c r="C22" i="29"/>
  <c r="N22" i="29" s="1"/>
  <c r="C21" i="29"/>
  <c r="N21" i="29" s="1"/>
  <c r="C12" i="29"/>
  <c r="N12" i="29" s="1"/>
  <c r="C11" i="29"/>
  <c r="N11" i="29" s="1"/>
  <c r="C10" i="29"/>
  <c r="N10" i="29" s="1"/>
  <c r="C9" i="29"/>
  <c r="N9" i="29" s="1"/>
  <c r="C8" i="29"/>
  <c r="N8" i="29" s="1"/>
  <c r="C7" i="29"/>
  <c r="N7" i="29" s="1"/>
  <c r="C6" i="29"/>
  <c r="N6" i="29" s="1"/>
  <c r="C5" i="29"/>
  <c r="N5" i="29" s="1"/>
  <c r="C29" i="30"/>
  <c r="N29" i="30" s="1"/>
  <c r="C28" i="30"/>
  <c r="N28" i="30" s="1"/>
  <c r="C27" i="30"/>
  <c r="N27" i="30" s="1"/>
  <c r="C26" i="30"/>
  <c r="N26" i="30" s="1"/>
  <c r="C25" i="30"/>
  <c r="N25" i="30" s="1"/>
  <c r="C24" i="30"/>
  <c r="N24" i="30" s="1"/>
  <c r="C23" i="30"/>
  <c r="N23" i="30" s="1"/>
  <c r="C22" i="30"/>
  <c r="N22" i="30" s="1"/>
  <c r="C12" i="30"/>
  <c r="N12" i="30" s="1"/>
  <c r="C11" i="30"/>
  <c r="N11" i="30" s="1"/>
  <c r="C10" i="30"/>
  <c r="N10" i="30" s="1"/>
  <c r="C9" i="30"/>
  <c r="N9" i="30" s="1"/>
  <c r="C8" i="30"/>
  <c r="N8" i="30" s="1"/>
  <c r="C7" i="30"/>
  <c r="N7" i="30" s="1"/>
  <c r="C6" i="30"/>
  <c r="N6" i="30" s="1"/>
  <c r="C5" i="30"/>
  <c r="N5" i="30" s="1"/>
  <c r="C17" i="31"/>
  <c r="N17" i="31" s="1"/>
  <c r="C16" i="31"/>
  <c r="N16" i="31" s="1"/>
  <c r="C15" i="31"/>
  <c r="N15" i="31" s="1"/>
  <c r="C14" i="31"/>
  <c r="N14" i="31" s="1"/>
  <c r="C13" i="31"/>
  <c r="N13" i="31" s="1"/>
  <c r="C12" i="31"/>
  <c r="N12" i="31" s="1"/>
  <c r="C11" i="31"/>
  <c r="N11" i="31" s="1"/>
  <c r="C10" i="31"/>
  <c r="N10" i="31" s="1"/>
  <c r="C9" i="31"/>
  <c r="N9" i="31" s="1"/>
  <c r="C8" i="31"/>
  <c r="N8" i="31" s="1"/>
  <c r="C7" i="31"/>
  <c r="N7" i="31" s="1"/>
  <c r="C6" i="31"/>
  <c r="N6" i="31" s="1"/>
  <c r="C5" i="31"/>
  <c r="N5" i="31" s="1"/>
  <c r="C17" i="32"/>
  <c r="N17" i="32" s="1"/>
  <c r="C16" i="32"/>
  <c r="N16" i="32" s="1"/>
  <c r="C15" i="32"/>
  <c r="N15" i="32" s="1"/>
  <c r="C14" i="32"/>
  <c r="N14" i="32" s="1"/>
  <c r="C13" i="32"/>
  <c r="N13" i="32" s="1"/>
  <c r="C12" i="32"/>
  <c r="N12" i="32" s="1"/>
  <c r="C11" i="32"/>
  <c r="N11" i="32" s="1"/>
  <c r="C10" i="32"/>
  <c r="N10" i="32" s="1"/>
  <c r="C9" i="32"/>
  <c r="N9" i="32" s="1"/>
  <c r="C8" i="32"/>
  <c r="N8" i="32" s="1"/>
  <c r="C7" i="32"/>
  <c r="N7" i="32" s="1"/>
  <c r="C6" i="32"/>
  <c r="N6" i="32" s="1"/>
  <c r="C5" i="32"/>
  <c r="N5" i="32" s="1"/>
  <c r="C28" i="53"/>
  <c r="N28" i="53" s="1"/>
  <c r="C27" i="53"/>
  <c r="N27" i="53" s="1"/>
  <c r="C26" i="53"/>
  <c r="N26" i="53" s="1"/>
  <c r="C25" i="53"/>
  <c r="N25" i="53" s="1"/>
  <c r="C24" i="53"/>
  <c r="N24" i="53" s="1"/>
  <c r="C23" i="53"/>
  <c r="N23" i="53" s="1"/>
  <c r="C22" i="53"/>
  <c r="N22" i="53" s="1"/>
  <c r="C21" i="53"/>
  <c r="N21" i="53" s="1"/>
  <c r="C12" i="53"/>
  <c r="N12" i="53" s="1"/>
  <c r="C11" i="53"/>
  <c r="N11" i="53" s="1"/>
  <c r="C10" i="53"/>
  <c r="N10" i="53" s="1"/>
  <c r="C9" i="53"/>
  <c r="N9" i="53" s="1"/>
  <c r="C8" i="53"/>
  <c r="N8" i="53" s="1"/>
  <c r="C7" i="53"/>
  <c r="N7" i="53" s="1"/>
  <c r="C6" i="53"/>
  <c r="N6" i="53" s="1"/>
  <c r="C5" i="53"/>
  <c r="N5" i="53" s="1"/>
  <c r="C29" i="12"/>
  <c r="N29" i="12" s="1"/>
  <c r="C28" i="12"/>
  <c r="N28" i="12" s="1"/>
  <c r="C27" i="12"/>
  <c r="N27" i="12" s="1"/>
  <c r="C26" i="12"/>
  <c r="N26" i="12" s="1"/>
  <c r="C25" i="12"/>
  <c r="N25" i="12" s="1"/>
  <c r="C24" i="12"/>
  <c r="N24" i="12" s="1"/>
  <c r="C23" i="12"/>
  <c r="N23" i="12" s="1"/>
  <c r="C22" i="12"/>
  <c r="N22" i="12" s="1"/>
  <c r="C12" i="12"/>
  <c r="N12" i="12" s="1"/>
  <c r="C11" i="12"/>
  <c r="N11" i="12" s="1"/>
  <c r="C10" i="12"/>
  <c r="N10" i="12" s="1"/>
  <c r="C9" i="12"/>
  <c r="N9" i="12" s="1"/>
  <c r="C8" i="12"/>
  <c r="N8" i="12" s="1"/>
  <c r="C7" i="12"/>
  <c r="N7" i="12" s="1"/>
  <c r="C6" i="12"/>
  <c r="N6" i="12" s="1"/>
  <c r="C5" i="12"/>
  <c r="N5" i="12" s="1"/>
  <c r="C18" i="9"/>
  <c r="N18" i="9" s="1"/>
  <c r="C17" i="9"/>
  <c r="N17" i="9" s="1"/>
  <c r="C16" i="9"/>
  <c r="N16" i="9" s="1"/>
  <c r="C15" i="9"/>
  <c r="N15" i="9" s="1"/>
  <c r="C14" i="9"/>
  <c r="N14" i="9" s="1"/>
  <c r="C13" i="9"/>
  <c r="N13" i="9" s="1"/>
  <c r="C12" i="9"/>
  <c r="N12" i="9" s="1"/>
  <c r="C11" i="9"/>
  <c r="N11" i="9" s="1"/>
  <c r="C10" i="9"/>
  <c r="N10" i="9" s="1"/>
  <c r="C9" i="9"/>
  <c r="N9" i="9" s="1"/>
  <c r="C8" i="9"/>
  <c r="N8" i="9" s="1"/>
  <c r="C7" i="9"/>
  <c r="N7" i="9" s="1"/>
  <c r="C6" i="9"/>
  <c r="N6" i="9" s="1"/>
  <c r="C17" i="8"/>
  <c r="N17" i="8" s="1"/>
  <c r="C16" i="8"/>
  <c r="N16" i="8" s="1"/>
  <c r="C15" i="8"/>
  <c r="N15" i="8" s="1"/>
  <c r="C14" i="8"/>
  <c r="N14" i="8" s="1"/>
  <c r="C13" i="8"/>
  <c r="N13" i="8" s="1"/>
  <c r="C12" i="8"/>
  <c r="N12" i="8" s="1"/>
  <c r="C11" i="8"/>
  <c r="N11" i="8" s="1"/>
  <c r="C10" i="8"/>
  <c r="N10" i="8" s="1"/>
  <c r="C9" i="8"/>
  <c r="N9" i="8" s="1"/>
  <c r="C8" i="8"/>
  <c r="N8" i="8" s="1"/>
  <c r="C7" i="8"/>
  <c r="N7" i="8" s="1"/>
  <c r="C6" i="8"/>
  <c r="N6" i="8" s="1"/>
  <c r="C5" i="8"/>
  <c r="N5" i="8" s="1"/>
  <c r="C21" i="6"/>
  <c r="N21" i="6" s="1"/>
  <c r="C20" i="6"/>
  <c r="N20" i="6" s="1"/>
  <c r="C19" i="6"/>
  <c r="N19" i="6" s="1"/>
  <c r="C18" i="6"/>
  <c r="N18" i="6" s="1"/>
  <c r="C17" i="6"/>
  <c r="N17" i="6" s="1"/>
  <c r="C16" i="6"/>
  <c r="N16" i="6" s="1"/>
  <c r="C15" i="6"/>
  <c r="N15" i="6" s="1"/>
  <c r="C14" i="6"/>
  <c r="N14" i="6" s="1"/>
  <c r="C13" i="6"/>
  <c r="N13" i="6" s="1"/>
  <c r="C12" i="6"/>
  <c r="N12" i="6" s="1"/>
  <c r="C11" i="6"/>
  <c r="N11" i="6" s="1"/>
  <c r="C10" i="6"/>
  <c r="N10" i="6" s="1"/>
  <c r="C9" i="6"/>
  <c r="N9" i="6" s="1"/>
  <c r="C8" i="6"/>
  <c r="N8" i="6" s="1"/>
  <c r="C7" i="6"/>
  <c r="N7" i="6" s="1"/>
  <c r="C6" i="6"/>
  <c r="N6" i="6" s="1"/>
  <c r="C5" i="6"/>
  <c r="N5" i="6" s="1"/>
  <c r="C4" i="6"/>
  <c r="N4" i="6" s="1"/>
  <c r="C21" i="5"/>
  <c r="N21" i="5" s="1"/>
  <c r="C20" i="5"/>
  <c r="N20" i="5" s="1"/>
  <c r="C19" i="5"/>
  <c r="N19" i="5" s="1"/>
  <c r="C18" i="5"/>
  <c r="N18" i="5" s="1"/>
  <c r="C17" i="5"/>
  <c r="N17" i="5" s="1"/>
  <c r="C16" i="5"/>
  <c r="N16" i="5" s="1"/>
  <c r="C15" i="5"/>
  <c r="N15" i="5" s="1"/>
  <c r="C14" i="5"/>
  <c r="N14" i="5" s="1"/>
  <c r="C13" i="5"/>
  <c r="N13" i="5" s="1"/>
  <c r="C12" i="5"/>
  <c r="N12" i="5" s="1"/>
  <c r="C11" i="5"/>
  <c r="N11" i="5" s="1"/>
  <c r="C10" i="5"/>
  <c r="N10" i="5" s="1"/>
  <c r="C9" i="5"/>
  <c r="N9" i="5" s="1"/>
  <c r="C8" i="5"/>
  <c r="N8" i="5" s="1"/>
  <c r="C7" i="5"/>
  <c r="N7" i="5" s="1"/>
  <c r="C6" i="5"/>
  <c r="N6" i="5" s="1"/>
  <c r="C5" i="5"/>
  <c r="N5" i="5" s="1"/>
  <c r="C4" i="5"/>
  <c r="N4" i="5" s="1"/>
  <c r="C21" i="4"/>
  <c r="N21" i="4" s="1"/>
  <c r="C20" i="4"/>
  <c r="N20" i="4" s="1"/>
  <c r="C19" i="4"/>
  <c r="N19" i="4" s="1"/>
  <c r="C18" i="4"/>
  <c r="N18" i="4" s="1"/>
  <c r="C17" i="4"/>
  <c r="N17" i="4" s="1"/>
  <c r="C16" i="4"/>
  <c r="N16" i="4" s="1"/>
  <c r="C15" i="4"/>
  <c r="N15" i="4" s="1"/>
  <c r="C14" i="4"/>
  <c r="N14" i="4" s="1"/>
  <c r="C13" i="4"/>
  <c r="N13" i="4" s="1"/>
  <c r="C12" i="4"/>
  <c r="N12" i="4" s="1"/>
  <c r="C11" i="4"/>
  <c r="N11" i="4" s="1"/>
  <c r="C10" i="4"/>
  <c r="N10" i="4" s="1"/>
  <c r="C9" i="4"/>
  <c r="N9" i="4" s="1"/>
  <c r="C8" i="4"/>
  <c r="N8" i="4" s="1"/>
  <c r="C7" i="4"/>
  <c r="N7" i="4" s="1"/>
  <c r="C6" i="4"/>
  <c r="N6" i="4" s="1"/>
  <c r="C5" i="4"/>
  <c r="N5" i="4" s="1"/>
  <c r="C4" i="4"/>
  <c r="N4" i="4" s="1"/>
  <c r="C21" i="3"/>
  <c r="N21" i="3" s="1"/>
  <c r="C20" i="3"/>
  <c r="N20" i="3" s="1"/>
  <c r="C19" i="3"/>
  <c r="N19" i="3" s="1"/>
  <c r="C18" i="3"/>
  <c r="N18" i="3" s="1"/>
  <c r="C17" i="3"/>
  <c r="N17" i="3" s="1"/>
  <c r="C16" i="3"/>
  <c r="N16" i="3" s="1"/>
  <c r="C15" i="3"/>
  <c r="N15" i="3" s="1"/>
  <c r="C14" i="3"/>
  <c r="N14" i="3" s="1"/>
  <c r="C13" i="3"/>
  <c r="N13" i="3" s="1"/>
  <c r="C12" i="3"/>
  <c r="N12" i="3" s="1"/>
  <c r="C11" i="3"/>
  <c r="N11" i="3" s="1"/>
  <c r="C10" i="3"/>
  <c r="N10" i="3" s="1"/>
  <c r="C9" i="3"/>
  <c r="N9" i="3" s="1"/>
  <c r="C8" i="3"/>
  <c r="N8" i="3" s="1"/>
  <c r="C7" i="3"/>
  <c r="N7" i="3" s="1"/>
  <c r="C6" i="3"/>
  <c r="N6" i="3" s="1"/>
  <c r="C5" i="3"/>
  <c r="N5" i="3" s="1"/>
  <c r="C4" i="3"/>
  <c r="N4" i="3" s="1"/>
  <c r="C22" i="2"/>
  <c r="N22" i="2" s="1"/>
  <c r="M24" i="2" s="1"/>
  <c r="C21" i="2"/>
  <c r="N21" i="2" s="1"/>
  <c r="C20" i="2"/>
  <c r="N20" i="2" s="1"/>
  <c r="C19" i="2"/>
  <c r="N19" i="2" s="1"/>
  <c r="C18" i="2"/>
  <c r="N18" i="2" s="1"/>
  <c r="C17" i="2"/>
  <c r="N17" i="2" s="1"/>
  <c r="C16" i="2"/>
  <c r="N16" i="2" s="1"/>
  <c r="C15" i="2"/>
  <c r="N15" i="2" s="1"/>
  <c r="C14" i="2"/>
  <c r="N14" i="2" s="1"/>
  <c r="C13" i="2"/>
  <c r="N13" i="2" s="1"/>
  <c r="C12" i="2"/>
  <c r="N12" i="2" s="1"/>
  <c r="C11" i="2"/>
  <c r="N11" i="2" s="1"/>
  <c r="C10" i="2"/>
  <c r="N10" i="2" s="1"/>
  <c r="C9" i="2"/>
  <c r="N9" i="2" s="1"/>
  <c r="C8" i="2"/>
  <c r="N8" i="2" s="1"/>
  <c r="C7" i="2"/>
  <c r="N7" i="2" s="1"/>
  <c r="C6" i="2"/>
  <c r="N6" i="2" s="1"/>
  <c r="C5" i="2"/>
  <c r="N5" i="2" s="1"/>
  <c r="C4" i="2"/>
  <c r="N4" i="2" s="1"/>
  <c r="C21" i="1"/>
  <c r="N21" i="1" s="1"/>
  <c r="C20" i="1"/>
  <c r="N20" i="1" s="1"/>
  <c r="C19" i="1"/>
  <c r="N19" i="1" s="1"/>
  <c r="C18" i="1"/>
  <c r="N18" i="1" s="1"/>
  <c r="C17" i="1"/>
  <c r="N17" i="1" s="1"/>
  <c r="C16" i="1"/>
  <c r="N16" i="1" s="1"/>
  <c r="C15" i="1"/>
  <c r="N15" i="1" s="1"/>
  <c r="C14" i="1"/>
  <c r="N14" i="1" s="1"/>
  <c r="C13" i="1"/>
  <c r="N13" i="1" s="1"/>
  <c r="C12" i="1"/>
  <c r="N12" i="1" s="1"/>
  <c r="C11" i="1"/>
  <c r="N11" i="1" s="1"/>
  <c r="C10" i="1"/>
  <c r="N10" i="1" s="1"/>
  <c r="C9" i="1"/>
  <c r="N9" i="1" s="1"/>
  <c r="C8" i="1"/>
  <c r="N8" i="1" s="1"/>
  <c r="C7" i="1"/>
  <c r="N7" i="1" s="1"/>
  <c r="C6" i="1"/>
  <c r="N6" i="1" s="1"/>
  <c r="C5" i="1"/>
  <c r="N5" i="1" s="1"/>
  <c r="C22" i="6" l="1"/>
  <c r="D18" i="8"/>
  <c r="G7" i="47"/>
  <c r="I19" i="47"/>
  <c r="F19" i="47"/>
  <c r="E19" i="47"/>
  <c r="D19" i="47"/>
  <c r="C19" i="47"/>
  <c r="C18" i="47" s="1"/>
  <c r="C13" i="17"/>
  <c r="C12" i="17"/>
  <c r="C28" i="10"/>
  <c r="C28" i="5"/>
  <c r="C28" i="4"/>
  <c r="C28" i="3"/>
  <c r="C28" i="2"/>
  <c r="C28" i="1"/>
  <c r="I28" i="1" s="1"/>
  <c r="K7" i="47" l="1"/>
  <c r="G6" i="47"/>
  <c r="C30" i="1"/>
  <c r="M28" i="1"/>
  <c r="H30" i="1"/>
  <c r="I30" i="1"/>
  <c r="E30" i="1"/>
  <c r="G30" i="1"/>
  <c r="F30" i="1"/>
  <c r="D30" i="1"/>
  <c r="G19" i="47"/>
  <c r="I23" i="47"/>
  <c r="I18" i="47" s="1"/>
  <c r="E23" i="47"/>
  <c r="E18" i="47" s="1"/>
  <c r="F23" i="47"/>
  <c r="F18" i="47" s="1"/>
  <c r="D23" i="47"/>
  <c r="D18" i="47" s="1"/>
  <c r="G13" i="17"/>
  <c r="I13" i="17" s="1"/>
  <c r="N13" i="17" s="1"/>
  <c r="G12" i="17"/>
  <c r="I12" i="17" s="1"/>
  <c r="N12" i="17" s="1"/>
  <c r="G28" i="10"/>
  <c r="G28" i="6"/>
  <c r="G28" i="5"/>
  <c r="G28" i="4"/>
  <c r="G28" i="3"/>
  <c r="I28" i="3" s="1"/>
  <c r="G28" i="2"/>
  <c r="I28" i="2" s="1"/>
  <c r="I30" i="3" l="1"/>
  <c r="M28" i="3"/>
  <c r="H30" i="3"/>
  <c r="E30" i="3"/>
  <c r="F30" i="3"/>
  <c r="D30" i="3"/>
  <c r="C30" i="3"/>
  <c r="I30" i="2"/>
  <c r="M28" i="2"/>
  <c r="H30" i="2"/>
  <c r="F30" i="2"/>
  <c r="E30" i="2"/>
  <c r="D30" i="2"/>
  <c r="I28" i="4"/>
  <c r="I28" i="10"/>
  <c r="I28" i="5"/>
  <c r="G30" i="3"/>
  <c r="G30" i="2"/>
  <c r="I28" i="6"/>
  <c r="K19" i="47"/>
  <c r="C30" i="2"/>
  <c r="G23" i="47"/>
  <c r="K23" i="47" s="1"/>
  <c r="M13" i="17"/>
  <c r="I30" i="4" l="1"/>
  <c r="M28" i="4"/>
  <c r="H30" i="4"/>
  <c r="F30" i="4"/>
  <c r="E30" i="4"/>
  <c r="D30" i="4"/>
  <c r="C30" i="4"/>
  <c r="I30" i="6"/>
  <c r="H30" i="6"/>
  <c r="M28" i="6"/>
  <c r="E30" i="6"/>
  <c r="F30" i="6"/>
  <c r="D30" i="6"/>
  <c r="C30" i="6"/>
  <c r="I30" i="5"/>
  <c r="M28" i="5"/>
  <c r="H30" i="5"/>
  <c r="E30" i="5"/>
  <c r="F30" i="5"/>
  <c r="D30" i="5"/>
  <c r="C30" i="5"/>
  <c r="G30" i="4"/>
  <c r="G30" i="6"/>
  <c r="I30" i="10"/>
  <c r="H30" i="10"/>
  <c r="M28" i="10"/>
  <c r="E30" i="10"/>
  <c r="F30" i="10"/>
  <c r="D30" i="10"/>
  <c r="C30" i="10"/>
  <c r="G30" i="10"/>
  <c r="G18" i="47"/>
  <c r="G30" i="5"/>
  <c r="O13" i="17"/>
  <c r="K21" i="47"/>
  <c r="N22" i="6" l="1"/>
  <c r="M24" i="6" s="1"/>
  <c r="E24" i="2"/>
  <c r="H24" i="2"/>
  <c r="L24" i="2"/>
  <c r="I24" i="2"/>
  <c r="J24" i="2"/>
  <c r="N19" i="9"/>
  <c r="M21" i="9" s="1"/>
  <c r="E22" i="10"/>
  <c r="N22" i="3" l="1"/>
  <c r="N22" i="4"/>
  <c r="M12" i="17"/>
  <c r="N18" i="8"/>
  <c r="D20" i="8" l="1"/>
  <c r="M20" i="8"/>
  <c r="K24" i="3"/>
  <c r="M24" i="3"/>
  <c r="K24" i="4"/>
  <c r="M24" i="4"/>
  <c r="O12" i="17"/>
  <c r="G25" i="47"/>
  <c r="K9" i="47" l="1"/>
  <c r="C30" i="30"/>
  <c r="L30" i="30" l="1"/>
  <c r="K22" i="47" l="1"/>
  <c r="K18" i="47" s="1"/>
  <c r="L22" i="10" l="1"/>
  <c r="K14" i="47" l="1"/>
  <c r="K12" i="47"/>
  <c r="K11" i="47"/>
  <c r="K10" i="47"/>
  <c r="J25" i="47"/>
  <c r="I25" i="47"/>
  <c r="H25" i="47"/>
  <c r="F25" i="47"/>
  <c r="E25" i="47"/>
  <c r="D25" i="47"/>
  <c r="C25" i="47"/>
  <c r="J22" i="10"/>
  <c r="I22" i="10"/>
  <c r="H22" i="10"/>
  <c r="G22" i="10"/>
  <c r="F22" i="10"/>
  <c r="D22" i="10"/>
  <c r="C22" i="10"/>
  <c r="L29" i="29"/>
  <c r="J29" i="29"/>
  <c r="I29" i="29"/>
  <c r="H29" i="29"/>
  <c r="G29" i="29"/>
  <c r="F29" i="29"/>
  <c r="E29" i="29"/>
  <c r="D29" i="29"/>
  <c r="C29" i="29"/>
  <c r="L13" i="29"/>
  <c r="J13" i="29"/>
  <c r="I13" i="29"/>
  <c r="H13" i="29"/>
  <c r="G13" i="29"/>
  <c r="F13" i="29"/>
  <c r="E13" i="29"/>
  <c r="D13" i="29"/>
  <c r="C13" i="29"/>
  <c r="J30" i="30"/>
  <c r="I30" i="30"/>
  <c r="H30" i="30"/>
  <c r="G30" i="30"/>
  <c r="E30" i="30"/>
  <c r="D30" i="30"/>
  <c r="L13" i="30"/>
  <c r="J13" i="30"/>
  <c r="I13" i="30"/>
  <c r="H13" i="30"/>
  <c r="G13" i="30"/>
  <c r="F13" i="30"/>
  <c r="E13" i="30"/>
  <c r="D13" i="30"/>
  <c r="C13" i="30"/>
  <c r="F18" i="31"/>
  <c r="E18" i="31"/>
  <c r="D18" i="31"/>
  <c r="C18" i="31"/>
  <c r="L18" i="32"/>
  <c r="J18" i="32"/>
  <c r="I18" i="32"/>
  <c r="H18" i="32"/>
  <c r="G18" i="32"/>
  <c r="F18" i="32"/>
  <c r="E18" i="32"/>
  <c r="D18" i="32"/>
  <c r="C18" i="32"/>
  <c r="L29" i="53"/>
  <c r="J29" i="53"/>
  <c r="I29" i="53"/>
  <c r="H29" i="53"/>
  <c r="G29" i="53"/>
  <c r="F29" i="53"/>
  <c r="E29" i="53"/>
  <c r="D29" i="53"/>
  <c r="C29" i="53"/>
  <c r="L13" i="53"/>
  <c r="J13" i="53"/>
  <c r="I13" i="53"/>
  <c r="H13" i="53"/>
  <c r="G13" i="53"/>
  <c r="F13" i="53"/>
  <c r="E13" i="53"/>
  <c r="D13" i="53"/>
  <c r="C13" i="53"/>
  <c r="L30" i="12"/>
  <c r="I30" i="12"/>
  <c r="G30" i="12"/>
  <c r="F30" i="12"/>
  <c r="E30" i="12"/>
  <c r="D30" i="12"/>
  <c r="C30" i="12"/>
  <c r="L13" i="12"/>
  <c r="J13" i="12"/>
  <c r="I13" i="12"/>
  <c r="H13" i="12"/>
  <c r="G13" i="12"/>
  <c r="F13" i="12"/>
  <c r="E13" i="12"/>
  <c r="D13" i="12"/>
  <c r="C13" i="12"/>
  <c r="L19" i="9"/>
  <c r="J19" i="9"/>
  <c r="I19" i="9"/>
  <c r="H19" i="9"/>
  <c r="G19" i="9"/>
  <c r="F19" i="9"/>
  <c r="E19" i="9"/>
  <c r="E21" i="9" s="1"/>
  <c r="D19" i="9"/>
  <c r="C19" i="9"/>
  <c r="L18" i="8"/>
  <c r="J18" i="8"/>
  <c r="J20" i="8" s="1"/>
  <c r="I18" i="8"/>
  <c r="H18" i="8"/>
  <c r="H20" i="8" s="1"/>
  <c r="G18" i="8"/>
  <c r="F18" i="8"/>
  <c r="E18" i="8"/>
  <c r="C18" i="8"/>
  <c r="L22" i="6"/>
  <c r="J22" i="6"/>
  <c r="J24" i="6" s="1"/>
  <c r="H22" i="6"/>
  <c r="H24" i="6" s="1"/>
  <c r="G22" i="6"/>
  <c r="F22" i="6"/>
  <c r="F24" i="6" s="1"/>
  <c r="E22" i="6"/>
  <c r="E24" i="6" s="1"/>
  <c r="D22" i="6"/>
  <c r="L22" i="5"/>
  <c r="J22" i="5"/>
  <c r="H22" i="5"/>
  <c r="G22" i="5"/>
  <c r="F22" i="5"/>
  <c r="D22" i="5"/>
  <c r="C22" i="5"/>
  <c r="L22" i="4"/>
  <c r="J22" i="4"/>
  <c r="H22" i="4"/>
  <c r="G22" i="4"/>
  <c r="F22" i="4"/>
  <c r="E22" i="4"/>
  <c r="E24" i="4" s="1"/>
  <c r="D22" i="4"/>
  <c r="C22" i="4"/>
  <c r="L22" i="3"/>
  <c r="J22" i="3"/>
  <c r="G22" i="3"/>
  <c r="E22" i="3"/>
  <c r="D22" i="3"/>
  <c r="C22" i="3"/>
  <c r="D22" i="1"/>
  <c r="C22" i="1"/>
  <c r="N30" i="30" l="1"/>
  <c r="N22" i="1"/>
  <c r="M24" i="1" s="1"/>
  <c r="K6" i="47"/>
  <c r="K25" i="47" s="1"/>
  <c r="N22" i="10"/>
  <c r="M24" i="10" s="1"/>
  <c r="N29" i="53"/>
  <c r="M31" i="53" s="1"/>
  <c r="N22" i="5"/>
  <c r="L24" i="5" s="1"/>
  <c r="N13" i="53"/>
  <c r="M15" i="53" s="1"/>
  <c r="N18" i="32"/>
  <c r="M20" i="32" s="1"/>
  <c r="N13" i="29"/>
  <c r="M15" i="29" s="1"/>
  <c r="N29" i="29"/>
  <c r="M31" i="29" s="1"/>
  <c r="N13" i="30"/>
  <c r="M16" i="30" s="1"/>
  <c r="N18" i="31"/>
  <c r="N30" i="12"/>
  <c r="M32" i="12" s="1"/>
  <c r="N13" i="12"/>
  <c r="M15" i="12" s="1"/>
  <c r="D24" i="4"/>
  <c r="D24" i="3"/>
  <c r="C24" i="2"/>
  <c r="M27" i="2"/>
  <c r="M29" i="2" s="1"/>
  <c r="D24" i="2"/>
  <c r="F24" i="2"/>
  <c r="G24" i="2"/>
  <c r="K24" i="2"/>
  <c r="M20" i="31" l="1"/>
  <c r="H20" i="31"/>
  <c r="L20" i="31"/>
  <c r="I20" i="31"/>
  <c r="J20" i="31"/>
  <c r="G20" i="31"/>
  <c r="K20" i="31"/>
  <c r="M27" i="1"/>
  <c r="N24" i="1"/>
  <c r="L24" i="1"/>
  <c r="J24" i="1"/>
  <c r="I24" i="1"/>
  <c r="K24" i="1"/>
  <c r="H24" i="1"/>
  <c r="G24" i="1"/>
  <c r="E24" i="1"/>
  <c r="F24" i="1"/>
  <c r="C24" i="1"/>
  <c r="D24" i="1"/>
  <c r="M27" i="5"/>
  <c r="C24" i="5"/>
  <c r="G32" i="30"/>
  <c r="M32" i="30"/>
  <c r="M24" i="5"/>
  <c r="K24" i="5"/>
  <c r="E24" i="5"/>
  <c r="I24" i="5"/>
  <c r="F24" i="5"/>
  <c r="N24" i="2"/>
  <c r="G24" i="5"/>
  <c r="J24" i="5"/>
  <c r="H24" i="5"/>
  <c r="D24" i="5"/>
  <c r="E24" i="10"/>
  <c r="K24" i="10"/>
  <c r="K31" i="29"/>
  <c r="E15" i="29"/>
  <c r="C15" i="29"/>
  <c r="K15" i="29"/>
  <c r="D24" i="10"/>
  <c r="E32" i="12"/>
  <c r="N27" i="2"/>
  <c r="M27" i="6"/>
  <c r="I24" i="6"/>
  <c r="F15" i="29"/>
  <c r="H15" i="29"/>
  <c r="D15" i="29"/>
  <c r="I15" i="29"/>
  <c r="L15" i="29"/>
  <c r="G15" i="29"/>
  <c r="J15" i="29"/>
  <c r="H31" i="29"/>
  <c r="D31" i="29"/>
  <c r="L31" i="29"/>
  <c r="J31" i="29"/>
  <c r="E31" i="29"/>
  <c r="I31" i="29"/>
  <c r="C31" i="29"/>
  <c r="G31" i="29"/>
  <c r="F31" i="29"/>
  <c r="G24" i="6"/>
  <c r="K24" i="6"/>
  <c r="D24" i="6"/>
  <c r="C15" i="12"/>
  <c r="J24" i="10"/>
  <c r="C24" i="10"/>
  <c r="D20" i="32"/>
  <c r="L20" i="8"/>
  <c r="K20" i="8"/>
  <c r="E20" i="8"/>
  <c r="G20" i="8"/>
  <c r="C24" i="6"/>
  <c r="L24" i="6"/>
  <c r="C16" i="30"/>
  <c r="C20" i="8"/>
  <c r="I20" i="8"/>
  <c r="H24" i="10"/>
  <c r="M27" i="10"/>
  <c r="L24" i="3"/>
  <c r="H24" i="3"/>
  <c r="D31" i="53"/>
  <c r="C15" i="53"/>
  <c r="J24" i="3"/>
  <c r="E24" i="3"/>
  <c r="C24" i="3"/>
  <c r="M27" i="3"/>
  <c r="M29" i="3" s="1"/>
  <c r="N29" i="3" s="1"/>
  <c r="G16" i="30"/>
  <c r="J31" i="53"/>
  <c r="E31" i="53"/>
  <c r="C31" i="53"/>
  <c r="L31" i="53"/>
  <c r="H31" i="53"/>
  <c r="I31" i="53"/>
  <c r="L32" i="12"/>
  <c r="H32" i="12"/>
  <c r="J32" i="12"/>
  <c r="D32" i="12"/>
  <c r="L21" i="9"/>
  <c r="F20" i="8"/>
  <c r="L24" i="4"/>
  <c r="J24" i="4"/>
  <c r="H24" i="4"/>
  <c r="I24" i="3"/>
  <c r="G24" i="3"/>
  <c r="F24" i="3"/>
  <c r="J32" i="30"/>
  <c r="K16" i="30"/>
  <c r="L16" i="30"/>
  <c r="L20" i="32"/>
  <c r="E20" i="32"/>
  <c r="H20" i="32"/>
  <c r="K20" i="32"/>
  <c r="G20" i="32"/>
  <c r="K15" i="53"/>
  <c r="J15" i="53"/>
  <c r="G15" i="53"/>
  <c r="L15" i="12"/>
  <c r="J15" i="12"/>
  <c r="H15" i="12"/>
  <c r="E15" i="12"/>
  <c r="K15" i="12"/>
  <c r="J21" i="9"/>
  <c r="H21" i="9"/>
  <c r="C21" i="9"/>
  <c r="K21" i="9"/>
  <c r="I21" i="9"/>
  <c r="D21" i="9"/>
  <c r="C24" i="4"/>
  <c r="N24" i="4"/>
  <c r="M27" i="4"/>
  <c r="L24" i="10"/>
  <c r="L32" i="30"/>
  <c r="H32" i="30"/>
  <c r="C32" i="30"/>
  <c r="D32" i="30"/>
  <c r="E32" i="30"/>
  <c r="F32" i="30"/>
  <c r="I32" i="30"/>
  <c r="I16" i="30"/>
  <c r="F16" i="30"/>
  <c r="H16" i="30"/>
  <c r="D16" i="30"/>
  <c r="J16" i="30"/>
  <c r="E16" i="30"/>
  <c r="K31" i="53"/>
  <c r="G31" i="53"/>
  <c r="F31" i="53"/>
  <c r="C32" i="12"/>
  <c r="K32" i="12"/>
  <c r="I32" i="12"/>
  <c r="G32" i="12"/>
  <c r="F32" i="12"/>
  <c r="I15" i="12"/>
  <c r="G21" i="9"/>
  <c r="I24" i="4"/>
  <c r="I24" i="10"/>
  <c r="G24" i="10"/>
  <c r="F24" i="10"/>
  <c r="K32" i="30"/>
  <c r="D20" i="31"/>
  <c r="F20" i="31"/>
  <c r="E20" i="31"/>
  <c r="C20" i="31"/>
  <c r="J20" i="32"/>
  <c r="C20" i="32"/>
  <c r="I20" i="32"/>
  <c r="F20" i="32"/>
  <c r="L15" i="53"/>
  <c r="H15" i="53"/>
  <c r="E15" i="53"/>
  <c r="I15" i="53"/>
  <c r="F15" i="53"/>
  <c r="D15" i="53"/>
  <c r="F15" i="12"/>
  <c r="G15" i="12"/>
  <c r="D15" i="12"/>
  <c r="F21" i="9"/>
  <c r="G24" i="4"/>
  <c r="F24" i="4"/>
  <c r="M29" i="5"/>
  <c r="N29" i="5" s="1"/>
  <c r="N16" i="30" l="1"/>
  <c r="N24" i="10"/>
  <c r="N15" i="29"/>
  <c r="N31" i="29"/>
  <c r="N32" i="30"/>
  <c r="N24" i="5"/>
  <c r="N20" i="32"/>
  <c r="N20" i="31"/>
  <c r="N21" i="9"/>
  <c r="N31" i="53"/>
  <c r="N20" i="8"/>
  <c r="N32" i="12"/>
  <c r="N24" i="3"/>
  <c r="N15" i="53"/>
  <c r="N15" i="12"/>
  <c r="N24" i="6"/>
  <c r="M29" i="4"/>
  <c r="N27" i="4" s="1"/>
  <c r="M29" i="10"/>
  <c r="N27" i="10" s="1"/>
  <c r="M29" i="6"/>
  <c r="N27" i="6" s="1"/>
  <c r="M29" i="1"/>
  <c r="N29" i="2"/>
  <c r="N28" i="2"/>
  <c r="N27" i="3"/>
  <c r="N28" i="3"/>
  <c r="N27" i="5"/>
  <c r="N28" i="5"/>
  <c r="N29" i="10" l="1"/>
  <c r="N28" i="10"/>
  <c r="N29" i="1"/>
  <c r="N28" i="1"/>
  <c r="N27" i="1"/>
  <c r="N29" i="6"/>
  <c r="N28" i="6"/>
  <c r="N29" i="4"/>
  <c r="N28" i="4"/>
</calcChain>
</file>

<file path=xl/sharedStrings.xml><?xml version="1.0" encoding="utf-8"?>
<sst xmlns="http://schemas.openxmlformats.org/spreadsheetml/2006/main" count="915" uniqueCount="122">
  <si>
    <t>Ред.   бр.</t>
  </si>
  <si>
    <t>Класа на осигурување</t>
  </si>
  <si>
    <t>неживот</t>
  </si>
  <si>
    <t>Вкупно</t>
  </si>
  <si>
    <t>Триглав</t>
  </si>
  <si>
    <t>Евроинс</t>
  </si>
  <si>
    <t>Сава</t>
  </si>
  <si>
    <t>Винер</t>
  </si>
  <si>
    <t>Еуролинк</t>
  </si>
  <si>
    <t>Ос.Полиса</t>
  </si>
  <si>
    <t>Кроација</t>
  </si>
  <si>
    <t>Незгода</t>
  </si>
  <si>
    <t>Здравствено осигурување</t>
  </si>
  <si>
    <t>Моторни возила - каско</t>
  </si>
  <si>
    <t>Шински возила - каско</t>
  </si>
  <si>
    <t>Воздухоплови - каско</t>
  </si>
  <si>
    <t>Пловни објекти - каско</t>
  </si>
  <si>
    <t>Стока во превоз - карго</t>
  </si>
  <si>
    <t>Имот од пожари и други непогоди</t>
  </si>
  <si>
    <t xml:space="preserve">Останати осигурувања на имот </t>
  </si>
  <si>
    <t>АО (вкупно )</t>
  </si>
  <si>
    <t>Одговорност воздухоплови</t>
  </si>
  <si>
    <t>Одговорност пловни објекти</t>
  </si>
  <si>
    <t xml:space="preserve">Општо осигурување од одговорност </t>
  </si>
  <si>
    <t>Осигурување на кредити</t>
  </si>
  <si>
    <t>Осигурување на гаранции</t>
  </si>
  <si>
    <t>Осигурување од финансиски загуби</t>
  </si>
  <si>
    <t>Осигурување на правна заштита</t>
  </si>
  <si>
    <t>Осигурување на туристичка помош</t>
  </si>
  <si>
    <t xml:space="preserve">Вкупно  </t>
  </si>
  <si>
    <t xml:space="preserve">% по друштво за неживотно осигурување </t>
  </si>
  <si>
    <t>Граве</t>
  </si>
  <si>
    <t>Неживот</t>
  </si>
  <si>
    <t>Живот</t>
  </si>
  <si>
    <t xml:space="preserve">% по друштво за животно осигурување </t>
  </si>
  <si>
    <t>во 000 мкд</t>
  </si>
  <si>
    <t xml:space="preserve">Вкупно </t>
  </si>
  <si>
    <t>Ос.полиса</t>
  </si>
  <si>
    <t>Патнички автомобили</t>
  </si>
  <si>
    <t>Товарни возила</t>
  </si>
  <si>
    <t>Автобуси</t>
  </si>
  <si>
    <t>Влечни возила</t>
  </si>
  <si>
    <t>Специјални возила</t>
  </si>
  <si>
    <t>Моторцикли и скутери</t>
  </si>
  <si>
    <t>Приклучни возила</t>
  </si>
  <si>
    <t>Работни моторни возила</t>
  </si>
  <si>
    <t>Возила за време на пробни возења и престој во складишта</t>
  </si>
  <si>
    <t>Возила за време на доопремување на сопствени оски (пер акс)</t>
  </si>
  <si>
    <t>Моторни возила со пробни таблици</t>
  </si>
  <si>
    <t>Возила за време на поправка во автомеханичарски и авторемонтни работилници и во работилници за перење и подмачкување</t>
  </si>
  <si>
    <t>Возила со посебни регистарски ознаки кои се во промет на територија на РМ</t>
  </si>
  <si>
    <t>000 мкд</t>
  </si>
  <si>
    <t xml:space="preserve">% </t>
  </si>
  <si>
    <t xml:space="preserve">Вкупно ЗК </t>
  </si>
  <si>
    <t>Вкупно (неживот)</t>
  </si>
  <si>
    <t>Вкупно (живот)</t>
  </si>
  <si>
    <t>Друштво за осигурување</t>
  </si>
  <si>
    <t>Трошоци за провизија</t>
  </si>
  <si>
    <t>Резерви за настанати и пријавени штети</t>
  </si>
  <si>
    <t>Резерви за настанати но непријавени штети</t>
  </si>
  <si>
    <t>Број на штети</t>
  </si>
  <si>
    <t>Исплатени износи</t>
  </si>
  <si>
    <t>Број на резервирани штети</t>
  </si>
  <si>
    <t>Неосигурени возила</t>
  </si>
  <si>
    <t>Непознати возила</t>
  </si>
  <si>
    <t>Останати услужни штети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</si>
  <si>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</si>
  <si>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Општа одговорност </t>
  </si>
  <si>
    <t>Македонија</t>
  </si>
  <si>
    <t xml:space="preserve">Директна продажба </t>
  </si>
  <si>
    <t>Осиг. брокерски друштва</t>
  </si>
  <si>
    <t>Друштва за застапување</t>
  </si>
  <si>
    <t>Туристички агенции</t>
  </si>
  <si>
    <t xml:space="preserve">Авто салони </t>
  </si>
  <si>
    <t>Банки</t>
  </si>
  <si>
    <t>Број на склучени договори</t>
  </si>
  <si>
    <t xml:space="preserve">Бруто полисирана премија </t>
  </si>
  <si>
    <t>Застапници во осигурување</t>
  </si>
  <si>
    <t>Останати дистрибутивни канали</t>
  </si>
  <si>
    <t>Математичка резерва</t>
  </si>
  <si>
    <t>Резерви на штети</t>
  </si>
  <si>
    <t>Ред.           бр.</t>
  </si>
  <si>
    <t>Резерви за преносна премија</t>
  </si>
  <si>
    <t>Резерви за бонуси и попусти</t>
  </si>
  <si>
    <t>Резерви за штети</t>
  </si>
  <si>
    <t>Еквилизациона резерва</t>
  </si>
  <si>
    <t>Други технички резерви</t>
  </si>
  <si>
    <t>Вкупно резерви за штети</t>
  </si>
  <si>
    <t>Друштво</t>
  </si>
  <si>
    <t>живот</t>
  </si>
  <si>
    <t xml:space="preserve"> Во 000 мкд</t>
  </si>
  <si>
    <t>Во 000 мкд</t>
  </si>
  <si>
    <t>Халк</t>
  </si>
  <si>
    <t>Граве н.</t>
  </si>
  <si>
    <t>Прва живот</t>
  </si>
  <si>
    <t>Зоил</t>
  </si>
  <si>
    <t>Сигал</t>
  </si>
  <si>
    <t>Бруто полисирана премија за период од 01.01.2026 до 30.06.2026</t>
  </si>
  <si>
    <t>Број на договори за период од 01.01.2026 до 30.06.2026</t>
  </si>
  <si>
    <t>Бруто исплатени (ликвидирани) штети за период од 01.01.2026 до 30.06.2026</t>
  </si>
  <si>
    <t>Број исплатени (ликвидирани) штети за период од 01.01.2026 до 30.06.2026</t>
  </si>
  <si>
    <t>Број на резервирани штети за период од 01.01.2026 до 30.06.2026</t>
  </si>
  <si>
    <t>Бруто резерви за настанати и пријавени штети за период од 01.01.2026 до 30.06.2026</t>
  </si>
  <si>
    <t>Бруто резерви за настанати но непријавени штети за период од 01.01.2026 до 30.06.2026</t>
  </si>
  <si>
    <t>Договори за ЗАО за период од 01.01.2026 до 30.06.2026</t>
  </si>
  <si>
    <t>Премија за ЗАО за период од 01.01.2026 до 30.06.2026</t>
  </si>
  <si>
    <t>Број на Зелена карта за период од 01.01.2026 до 30.06.2026</t>
  </si>
  <si>
    <t>Премија за Зелена карта за период од 01.01.2026 до 30.06.2026</t>
  </si>
  <si>
    <t>Број на Гранично осигурување за период од 01.01.2026 до 30.06.2026</t>
  </si>
  <si>
    <t>Премија за Гранично осигурување за период од 01.01.2026 до 30.06.2026</t>
  </si>
  <si>
    <t>Број на штети од ЗАО за период од 01.01.2026 до 30.06.2026</t>
  </si>
  <si>
    <t>Ликвидирани штети на ЗАО за период од 01.01.2026 до 30.06.2026</t>
  </si>
  <si>
    <t>Број на штети на Зелена карта за период од 01.01.2026 до 30.06.2026</t>
  </si>
  <si>
    <t>Ликвидирани штети за ЗК за период од 01.01.2026 до 30.06.2026</t>
  </si>
  <si>
    <t>Број на штети Гранично осигурување за период од 01.01.2026 до 30.06.2026</t>
  </si>
  <si>
    <t>Ликвидирани штети за Гранично осигурување за период од 01.01.2026 до 30.06.2026</t>
  </si>
  <si>
    <t>Техничка премија за период од 01.01.2026 до 30.06.2026</t>
  </si>
  <si>
    <t xml:space="preserve">          Резерви за настанати и пријавени, непријавени штети за период од 01.01.2026 до 30.06.2026</t>
  </si>
  <si>
    <t>Продажба по канали за период од 01.01.2026 до 30.06.2026</t>
  </si>
  <si>
    <t>Бруто технички резерви за периодот од  01.01.2026 до 30.06.2026</t>
  </si>
  <si>
    <t>Неосигурени возила, непознати возила и услужни штети за период од 01.01.2026 до 30.06.2026 година ( Вкупно )</t>
  </si>
  <si>
    <t>Преносна премија за период од 01.01.2026 до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</si>
</sst>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"/>
    <numFmt numFmtId="166" formatCode="_(* #,##0_);_(* \(#,##0\);_(* &quot;-&quot;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Calibri"/>
      <family val="2"/>
      <scheme val="minor"/>
    </font>
    <font>
      <b/>
      <sz val="10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8"/>
      <name val="Calibri"/>
      <family val="2"/>
      <charset val="204"/>
      <scheme val="minor"/>
    </font>
    <font>
      <sz val="10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9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6">
    <xf numFmtId="0" fontId="0" fillId="0" borderId="0" xfId="0"/>
    <xf numFmtId="0" fontId="0" fillId="0" borderId="0" xfId="0"/>
    <xf numFmtId="0" fontId="5" fillId="0" borderId="0" xfId="1" applyFont="1"/>
    <xf numFmtId="0" fontId="6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" fillId="0" borderId="0" xfId="1" applyFont="1"/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" fontId="11" fillId="3" borderId="0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3" fontId="8" fillId="3" borderId="0" xfId="1" applyNumberFormat="1" applyFont="1" applyFill="1" applyBorder="1" applyAlignment="1">
      <alignment vertical="center"/>
    </xf>
    <xf numFmtId="3" fontId="8" fillId="4" borderId="0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0" fontId="12" fillId="3" borderId="1" xfId="2" applyNumberFormat="1" applyFont="1" applyFill="1" applyBorder="1" applyAlignment="1">
      <alignment vertical="center"/>
    </xf>
    <xf numFmtId="10" fontId="5" fillId="2" borderId="13" xfId="2" applyNumberFormat="1" applyFont="1" applyFill="1" applyBorder="1" applyAlignment="1">
      <alignment vertical="center"/>
    </xf>
    <xf numFmtId="10" fontId="5" fillId="3" borderId="1" xfId="2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3" fontId="8" fillId="3" borderId="12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3" fontId="8" fillId="3" borderId="13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3" fontId="8" fillId="2" borderId="13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3" fontId="8" fillId="3" borderId="0" xfId="0" applyNumberFormat="1" applyFont="1" applyFill="1" applyBorder="1"/>
    <xf numFmtId="3" fontId="8" fillId="3" borderId="0" xfId="0" applyNumberFormat="1" applyFont="1" applyFill="1" applyBorder="1" applyAlignment="1">
      <alignment vertical="center"/>
    </xf>
    <xf numFmtId="10" fontId="5" fillId="2" borderId="1" xfId="6" applyNumberFormat="1" applyFont="1" applyFill="1" applyBorder="1" applyAlignment="1">
      <alignment vertical="center"/>
    </xf>
    <xf numFmtId="10" fontId="5" fillId="3" borderId="1" xfId="6" applyNumberFormat="1" applyFont="1" applyFill="1" applyBorder="1" applyAlignment="1">
      <alignment vertical="center"/>
    </xf>
    <xf numFmtId="0" fontId="6" fillId="0" borderId="0" xfId="0" applyFont="1"/>
    <xf numFmtId="3" fontId="5" fillId="2" borderId="1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0" fontId="14" fillId="0" borderId="0" xfId="0" applyFont="1"/>
    <xf numFmtId="0" fontId="5" fillId="2" borderId="7" xfId="0" applyFont="1" applyFill="1" applyBorder="1" applyAlignment="1">
      <alignment vertical="center" wrapText="1"/>
    </xf>
    <xf numFmtId="3" fontId="5" fillId="2" borderId="7" xfId="0" applyNumberFormat="1" applyFont="1" applyFill="1" applyBorder="1" applyAlignment="1">
      <alignment vertical="center"/>
    </xf>
    <xf numFmtId="10" fontId="12" fillId="3" borderId="1" xfId="6" applyNumberFormat="1" applyFont="1" applyFill="1" applyBorder="1" applyAlignment="1">
      <alignment vertical="center"/>
    </xf>
    <xf numFmtId="10" fontId="5" fillId="2" borderId="13" xfId="6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11" fillId="3" borderId="0" xfId="0" applyNumberFormat="1" applyFont="1" applyFill="1" applyBorder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vertical="center"/>
    </xf>
    <xf numFmtId="3" fontId="5" fillId="3" borderId="7" xfId="0" applyNumberFormat="1" applyFont="1" applyFill="1" applyBorder="1" applyAlignment="1">
      <alignment vertical="center"/>
    </xf>
    <xf numFmtId="0" fontId="5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3" fontId="5" fillId="3" borderId="24" xfId="0" applyNumberFormat="1" applyFont="1" applyFill="1" applyBorder="1" applyAlignment="1">
      <alignment vertical="center"/>
    </xf>
    <xf numFmtId="3" fontId="5" fillId="2" borderId="16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10" fontId="5" fillId="3" borderId="13" xfId="6" applyNumberFormat="1" applyFont="1" applyFill="1" applyBorder="1" applyAlignment="1">
      <alignment vertical="center"/>
    </xf>
    <xf numFmtId="10" fontId="12" fillId="2" borderId="1" xfId="6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/>
    </xf>
    <xf numFmtId="3" fontId="12" fillId="3" borderId="3" xfId="0" applyNumberFormat="1" applyFont="1" applyFill="1" applyBorder="1" applyAlignment="1">
      <alignment vertical="center"/>
    </xf>
    <xf numFmtId="0" fontId="5" fillId="6" borderId="17" xfId="0" applyFont="1" applyFill="1" applyBorder="1"/>
    <xf numFmtId="0" fontId="5" fillId="6" borderId="0" xfId="0" applyFont="1" applyFill="1" applyBorder="1"/>
    <xf numFmtId="0" fontId="5" fillId="0" borderId="1" xfId="0" applyFont="1" applyBorder="1"/>
    <xf numFmtId="0" fontId="12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2" borderId="10" xfId="1" applyFont="1" applyFill="1" applyBorder="1" applyAlignment="1">
      <alignment vertical="center"/>
    </xf>
    <xf numFmtId="0" fontId="0" fillId="0" borderId="0" xfId="0" applyBorder="1"/>
    <xf numFmtId="10" fontId="12" fillId="2" borderId="1" xfId="2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5" fillId="3" borderId="29" xfId="0" applyNumberFormat="1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4" fillId="0" borderId="0" xfId="0" applyFont="1"/>
    <xf numFmtId="3" fontId="24" fillId="2" borderId="4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vertical="center"/>
    </xf>
    <xf numFmtId="3" fontId="14" fillId="2" borderId="6" xfId="0" applyNumberFormat="1" applyFont="1" applyFill="1" applyBorder="1" applyAlignment="1">
      <alignment vertical="center"/>
    </xf>
    <xf numFmtId="3" fontId="14" fillId="0" borderId="26" xfId="0" applyNumberFormat="1" applyFont="1" applyBorder="1" applyAlignment="1">
      <alignment vertical="center"/>
    </xf>
    <xf numFmtId="3" fontId="24" fillId="3" borderId="6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vertical="center"/>
    </xf>
    <xf numFmtId="3" fontId="14" fillId="2" borderId="4" xfId="0" applyNumberFormat="1" applyFont="1" applyFill="1" applyBorder="1" applyAlignment="1">
      <alignment vertical="center"/>
    </xf>
    <xf numFmtId="3" fontId="14" fillId="0" borderId="27" xfId="0" applyNumberFormat="1" applyFont="1" applyBorder="1" applyAlignment="1">
      <alignment vertical="center"/>
    </xf>
    <xf numFmtId="3" fontId="24" fillId="3" borderId="4" xfId="0" applyNumberFormat="1" applyFont="1" applyFill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4" fillId="0" borderId="15" xfId="0" applyNumberFormat="1" applyFont="1" applyBorder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3" fontId="11" fillId="3" borderId="12" xfId="0" applyNumberFormat="1" applyFont="1" applyFill="1" applyBorder="1" applyAlignment="1">
      <alignment vertical="center"/>
    </xf>
    <xf numFmtId="3" fontId="11" fillId="3" borderId="1" xfId="1" applyNumberFormat="1" applyFont="1" applyFill="1" applyBorder="1" applyAlignment="1">
      <alignment vertical="center"/>
    </xf>
    <xf numFmtId="3" fontId="8" fillId="2" borderId="13" xfId="1" applyNumberFormat="1" applyFont="1" applyFill="1" applyBorder="1" applyAlignment="1">
      <alignment vertical="center"/>
    </xf>
    <xf numFmtId="3" fontId="8" fillId="3" borderId="1" xfId="1" applyNumberFormat="1" applyFont="1" applyFill="1" applyBorder="1" applyAlignment="1">
      <alignment vertical="center"/>
    </xf>
    <xf numFmtId="3" fontId="14" fillId="2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0" fontId="5" fillId="6" borderId="17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3" fontId="14" fillId="2" borderId="7" xfId="0" applyNumberFormat="1" applyFont="1" applyFill="1" applyBorder="1" applyAlignment="1">
      <alignment vertical="center"/>
    </xf>
    <xf numFmtId="3" fontId="14" fillId="3" borderId="7" xfId="0" applyNumberFormat="1" applyFont="1" applyFill="1" applyBorder="1" applyAlignment="1">
      <alignment vertical="center"/>
    </xf>
    <xf numFmtId="3" fontId="14" fillId="3" borderId="9" xfId="0" applyNumberFormat="1" applyFont="1" applyFill="1" applyBorder="1" applyAlignment="1">
      <alignment vertical="center"/>
    </xf>
    <xf numFmtId="3" fontId="14" fillId="2" borderId="3" xfId="0" applyNumberFormat="1" applyFont="1" applyFill="1" applyBorder="1" applyAlignment="1">
      <alignment vertical="center"/>
    </xf>
    <xf numFmtId="3" fontId="23" fillId="2" borderId="3" xfId="0" applyNumberFormat="1" applyFont="1" applyFill="1" applyBorder="1" applyAlignment="1">
      <alignment vertical="center"/>
    </xf>
    <xf numFmtId="3" fontId="23" fillId="3" borderId="7" xfId="0" applyNumberFormat="1" applyFont="1" applyFill="1" applyBorder="1" applyAlignment="1">
      <alignment vertical="center"/>
    </xf>
    <xf numFmtId="3" fontId="23" fillId="2" borderId="9" xfId="0" applyNumberFormat="1" applyFont="1" applyFill="1" applyBorder="1" applyAlignment="1">
      <alignment vertical="center"/>
    </xf>
    <xf numFmtId="3" fontId="14" fillId="2" borderId="9" xfId="0" applyNumberFormat="1" applyFont="1" applyFill="1" applyBorder="1" applyAlignment="1">
      <alignment vertical="center"/>
    </xf>
    <xf numFmtId="3" fontId="23" fillId="2" borderId="7" xfId="0" applyNumberFormat="1" applyFont="1" applyFill="1" applyBorder="1" applyAlignment="1">
      <alignment vertical="center"/>
    </xf>
    <xf numFmtId="3" fontId="5" fillId="3" borderId="6" xfId="1" applyNumberFormat="1" applyFont="1" applyFill="1" applyBorder="1" applyAlignment="1">
      <alignment vertical="center"/>
    </xf>
    <xf numFmtId="3" fontId="5" fillId="3" borderId="16" xfId="0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16" xfId="1" applyNumberFormat="1" applyFont="1" applyFill="1" applyBorder="1" applyAlignment="1">
      <alignment vertical="center"/>
    </xf>
    <xf numFmtId="3" fontId="5" fillId="3" borderId="7" xfId="1" applyNumberFormat="1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vertical="center"/>
    </xf>
    <xf numFmtId="3" fontId="5" fillId="3" borderId="3" xfId="1" applyNumberFormat="1" applyFont="1" applyFill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3" fontId="31" fillId="3" borderId="1" xfId="1" applyNumberFormat="1" applyFont="1" applyFill="1" applyBorder="1" applyAlignment="1">
      <alignment vertical="center"/>
    </xf>
    <xf numFmtId="3" fontId="31" fillId="2" borderId="13" xfId="1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7" xfId="0" applyFont="1" applyFill="1" applyBorder="1" applyAlignment="1">
      <alignment horizontal="left" vertical="center" wrapText="1"/>
    </xf>
    <xf numFmtId="1" fontId="5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2" fontId="7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wrapText="1"/>
    </xf>
    <xf numFmtId="10" fontId="5" fillId="3" borderId="1" xfId="6" applyNumberFormat="1" applyFont="1" applyFill="1" applyBorder="1"/>
    <xf numFmtId="0" fontId="32" fillId="0" borderId="0" xfId="0" applyFont="1"/>
    <xf numFmtId="0" fontId="33" fillId="0" borderId="0" xfId="0" applyFont="1"/>
    <xf numFmtId="0" fontId="4" fillId="0" borderId="0" xfId="0" applyFont="1" applyAlignment="1">
      <alignment vertical="center"/>
    </xf>
    <xf numFmtId="3" fontId="12" fillId="0" borderId="1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3" fontId="24" fillId="2" borderId="6" xfId="0" applyNumberFormat="1" applyFont="1" applyFill="1" applyBorder="1" applyAlignment="1">
      <alignment vertical="center"/>
    </xf>
    <xf numFmtId="0" fontId="0" fillId="0" borderId="0" xfId="0" applyAlignment="1"/>
    <xf numFmtId="3" fontId="23" fillId="3" borderId="3" xfId="0" applyNumberFormat="1" applyFont="1" applyFill="1" applyBorder="1" applyAlignment="1">
      <alignment vertical="center"/>
    </xf>
    <xf numFmtId="3" fontId="19" fillId="3" borderId="39" xfId="0" applyNumberFormat="1" applyFont="1" applyFill="1" applyBorder="1" applyAlignment="1">
      <alignment vertical="center"/>
    </xf>
    <xf numFmtId="3" fontId="19" fillId="3" borderId="40" xfId="0" applyNumberFormat="1" applyFont="1" applyFill="1" applyBorder="1" applyAlignment="1">
      <alignment vertical="center"/>
    </xf>
    <xf numFmtId="1" fontId="19" fillId="0" borderId="39" xfId="0" applyNumberFormat="1" applyFont="1" applyBorder="1" applyAlignment="1">
      <alignment vertical="center"/>
    </xf>
    <xf numFmtId="3" fontId="19" fillId="0" borderId="39" xfId="0" applyNumberFormat="1" applyFont="1" applyBorder="1" applyAlignment="1">
      <alignment vertical="center"/>
    </xf>
    <xf numFmtId="3" fontId="19" fillId="0" borderId="40" xfId="0" applyNumberFormat="1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3" fontId="12" fillId="0" borderId="42" xfId="0" applyNumberFormat="1" applyFont="1" applyBorder="1" applyAlignment="1">
      <alignment vertical="center"/>
    </xf>
    <xf numFmtId="0" fontId="5" fillId="0" borderId="48" xfId="1" applyFont="1" applyBorder="1" applyAlignment="1">
      <alignment horizontal="center" vertical="center"/>
    </xf>
    <xf numFmtId="0" fontId="6" fillId="2" borderId="42" xfId="1" applyFont="1" applyFill="1" applyBorder="1" applyAlignment="1">
      <alignment vertical="center"/>
    </xf>
    <xf numFmtId="3" fontId="5" fillId="2" borderId="42" xfId="0" applyNumberFormat="1" applyFont="1" applyFill="1" applyBorder="1" applyAlignment="1">
      <alignment vertical="center"/>
    </xf>
    <xf numFmtId="3" fontId="5" fillId="0" borderId="42" xfId="0" applyNumberFormat="1" applyFont="1" applyBorder="1" applyAlignment="1">
      <alignment vertical="center"/>
    </xf>
    <xf numFmtId="3" fontId="5" fillId="2" borderId="43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3" fontId="42" fillId="2" borderId="4" xfId="0" applyNumberFormat="1" applyFont="1" applyFill="1" applyBorder="1" applyAlignment="1">
      <alignment vertical="center" wrapText="1"/>
    </xf>
    <xf numFmtId="3" fontId="5" fillId="0" borderId="12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0" fontId="28" fillId="2" borderId="17" xfId="0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4" fontId="5" fillId="3" borderId="7" xfId="1" applyNumberFormat="1" applyFont="1" applyFill="1" applyBorder="1" applyAlignment="1">
      <alignment vertical="center"/>
    </xf>
    <xf numFmtId="3" fontId="0" fillId="0" borderId="0" xfId="0" applyNumberFormat="1"/>
    <xf numFmtId="3" fontId="23" fillId="3" borderId="9" xfId="0" applyNumberFormat="1" applyFont="1" applyFill="1" applyBorder="1" applyAlignment="1">
      <alignment vertical="center"/>
    </xf>
    <xf numFmtId="3" fontId="12" fillId="2" borderId="4" xfId="0" applyNumberFormat="1" applyFont="1" applyFill="1" applyBorder="1" applyAlignment="1">
      <alignment vertical="center" wrapText="1"/>
    </xf>
    <xf numFmtId="3" fontId="23" fillId="2" borderId="6" xfId="0" applyNumberFormat="1" applyFont="1" applyFill="1" applyBorder="1" applyAlignment="1">
      <alignment vertical="center" wrapText="1"/>
    </xf>
    <xf numFmtId="3" fontId="23" fillId="2" borderId="4" xfId="0" applyNumberFormat="1" applyFont="1" applyFill="1" applyBorder="1" applyAlignment="1">
      <alignment vertical="center" wrapText="1"/>
    </xf>
    <xf numFmtId="3" fontId="42" fillId="7" borderId="49" xfId="0" applyNumberFormat="1" applyFont="1" applyFill="1" applyBorder="1" applyAlignment="1">
      <alignment vertical="center" wrapText="1"/>
    </xf>
    <xf numFmtId="3" fontId="14" fillId="2" borderId="50" xfId="0" applyNumberFormat="1" applyFont="1" applyFill="1" applyBorder="1" applyAlignment="1">
      <alignment vertical="center"/>
    </xf>
    <xf numFmtId="3" fontId="14" fillId="3" borderId="51" xfId="0" applyNumberFormat="1" applyFont="1" applyFill="1" applyBorder="1" applyAlignment="1">
      <alignment vertical="center"/>
    </xf>
    <xf numFmtId="3" fontId="42" fillId="7" borderId="7" xfId="0" applyNumberFormat="1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/>
    </xf>
    <xf numFmtId="3" fontId="5" fillId="0" borderId="52" xfId="0" applyNumberFormat="1" applyFont="1" applyBorder="1" applyAlignment="1">
      <alignment vertical="center"/>
    </xf>
    <xf numFmtId="3" fontId="43" fillId="2" borderId="42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3" fontId="5" fillId="2" borderId="20" xfId="0" applyNumberFormat="1" applyFont="1" applyFill="1" applyBorder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3" fontId="5" fillId="2" borderId="11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vertical="center" wrapText="1"/>
    </xf>
    <xf numFmtId="4" fontId="14" fillId="2" borderId="9" xfId="0" applyNumberFormat="1" applyFont="1" applyFill="1" applyBorder="1" applyAlignment="1">
      <alignment vertical="center"/>
    </xf>
    <xf numFmtId="3" fontId="14" fillId="2" borderId="51" xfId="0" applyNumberFormat="1" applyFont="1" applyFill="1" applyBorder="1" applyAlignment="1">
      <alignment vertical="center"/>
    </xf>
    <xf numFmtId="3" fontId="23" fillId="2" borderId="17" xfId="0" applyNumberFormat="1" applyFont="1" applyFill="1" applyBorder="1" applyAlignment="1">
      <alignment vertical="center"/>
    </xf>
    <xf numFmtId="0" fontId="0" fillId="0" borderId="39" xfId="0" applyBorder="1"/>
    <xf numFmtId="0" fontId="0" fillId="0" borderId="39" xfId="0" applyBorder="1" applyAlignment="1">
      <alignment horizontal="center"/>
    </xf>
    <xf numFmtId="0" fontId="14" fillId="0" borderId="39" xfId="0" applyFont="1" applyBorder="1"/>
    <xf numFmtId="4" fontId="0" fillId="0" borderId="39" xfId="0" applyNumberFormat="1" applyBorder="1"/>
    <xf numFmtId="0" fontId="0" fillId="0" borderId="54" xfId="0" applyBorder="1"/>
    <xf numFmtId="3" fontId="23" fillId="2" borderId="39" xfId="0" applyNumberFormat="1" applyFont="1" applyFill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3" fontId="5" fillId="8" borderId="3" xfId="1" applyNumberFormat="1" applyFont="1" applyFill="1" applyBorder="1" applyAlignment="1">
      <alignment vertical="center"/>
    </xf>
    <xf numFmtId="3" fontId="5" fillId="8" borderId="43" xfId="0" applyNumberFormat="1" applyFont="1" applyFill="1" applyBorder="1" applyAlignment="1">
      <alignment vertical="center"/>
    </xf>
    <xf numFmtId="10" fontId="12" fillId="8" borderId="1" xfId="2" applyNumberFormat="1" applyFont="1" applyFill="1" applyBorder="1" applyAlignment="1">
      <alignment vertical="center"/>
    </xf>
    <xf numFmtId="3" fontId="8" fillId="8" borderId="2" xfId="0" applyNumberFormat="1" applyFont="1" applyFill="1" applyBorder="1" applyAlignment="1">
      <alignment vertical="center"/>
    </xf>
    <xf numFmtId="10" fontId="8" fillId="2" borderId="19" xfId="0" applyNumberFormat="1" applyFont="1" applyFill="1" applyBorder="1" applyAlignment="1">
      <alignment vertical="center"/>
    </xf>
    <xf numFmtId="3" fontId="8" fillId="8" borderId="1" xfId="0" applyNumberFormat="1" applyFont="1" applyFill="1" applyBorder="1" applyAlignment="1">
      <alignment vertical="center"/>
    </xf>
    <xf numFmtId="10" fontId="8" fillId="2" borderId="1" xfId="0" applyNumberFormat="1" applyFont="1" applyFill="1" applyBorder="1" applyAlignment="1">
      <alignment vertical="center"/>
    </xf>
    <xf numFmtId="3" fontId="8" fillId="8" borderId="11" xfId="0" applyNumberFormat="1" applyFont="1" applyFill="1" applyBorder="1" applyAlignment="1">
      <alignment vertical="center"/>
    </xf>
    <xf numFmtId="10" fontId="8" fillId="2" borderId="20" xfId="0" applyNumberFormat="1" applyFont="1" applyFill="1" applyBorder="1" applyAlignment="1">
      <alignment vertical="center"/>
    </xf>
    <xf numFmtId="3" fontId="5" fillId="8" borderId="52" xfId="1" applyNumberFormat="1" applyFont="1" applyFill="1" applyBorder="1" applyAlignment="1">
      <alignment vertical="center"/>
    </xf>
    <xf numFmtId="3" fontId="5" fillId="8" borderId="50" xfId="1" applyNumberFormat="1" applyFont="1" applyFill="1" applyBorder="1" applyAlignment="1">
      <alignment vertical="center"/>
    </xf>
    <xf numFmtId="3" fontId="12" fillId="8" borderId="50" xfId="1" applyNumberFormat="1" applyFont="1" applyFill="1" applyBorder="1" applyAlignment="1">
      <alignment vertical="center"/>
    </xf>
    <xf numFmtId="3" fontId="5" fillId="8" borderId="9" xfId="1" applyNumberFormat="1" applyFont="1" applyFill="1" applyBorder="1" applyAlignment="1">
      <alignment vertical="center"/>
    </xf>
    <xf numFmtId="3" fontId="8" fillId="8" borderId="1" xfId="1" applyNumberFormat="1" applyFont="1" applyFill="1" applyBorder="1" applyAlignment="1">
      <alignment vertical="center"/>
    </xf>
    <xf numFmtId="3" fontId="5" fillId="8" borderId="14" xfId="0" applyNumberFormat="1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vertical="center"/>
    </xf>
    <xf numFmtId="10" fontId="5" fillId="8" borderId="1" xfId="0" applyNumberFormat="1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3" fontId="5" fillId="8" borderId="52" xfId="0" applyNumberFormat="1" applyFont="1" applyFill="1" applyBorder="1" applyAlignment="1">
      <alignment vertical="center"/>
    </xf>
    <xf numFmtId="3" fontId="8" fillId="8" borderId="14" xfId="0" applyNumberFormat="1" applyFont="1" applyFill="1" applyBorder="1" applyAlignment="1">
      <alignment vertical="center"/>
    </xf>
    <xf numFmtId="10" fontId="5" fillId="8" borderId="1" xfId="6" applyNumberFormat="1" applyFont="1" applyFill="1" applyBorder="1" applyAlignme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right" vertical="center"/>
    </xf>
    <xf numFmtId="3" fontId="8" fillId="8" borderId="11" xfId="0" applyNumberFormat="1" applyFont="1" applyFill="1" applyBorder="1" applyAlignment="1">
      <alignment horizontal="right" vertical="center"/>
    </xf>
    <xf numFmtId="164" fontId="5" fillId="8" borderId="1" xfId="6" applyNumberFormat="1" applyFont="1" applyFill="1" applyBorder="1" applyAlignment="1">
      <alignment vertical="center"/>
    </xf>
    <xf numFmtId="10" fontId="5" fillId="8" borderId="14" xfId="6" applyNumberFormat="1" applyFont="1" applyFill="1" applyBorder="1" applyAlignment="1">
      <alignment vertical="center"/>
    </xf>
    <xf numFmtId="3" fontId="5" fillId="3" borderId="23" xfId="0" applyNumberFormat="1" applyFont="1" applyFill="1" applyBorder="1" applyAlignment="1">
      <alignment vertical="center"/>
    </xf>
    <xf numFmtId="3" fontId="5" fillId="2" borderId="36" xfId="0" applyNumberFormat="1" applyFont="1" applyFill="1" applyBorder="1" applyAlignment="1">
      <alignment vertical="center"/>
    </xf>
    <xf numFmtId="10" fontId="12" fillId="8" borderId="14" xfId="6" applyNumberFormat="1" applyFont="1" applyFill="1" applyBorder="1" applyAlignment="1">
      <alignment vertical="center"/>
    </xf>
    <xf numFmtId="3" fontId="5" fillId="4" borderId="22" xfId="0" applyNumberFormat="1" applyFont="1" applyFill="1" applyBorder="1" applyAlignment="1">
      <alignment vertical="center"/>
    </xf>
    <xf numFmtId="3" fontId="5" fillId="4" borderId="28" xfId="0" applyNumberFormat="1" applyFont="1" applyFill="1" applyBorder="1" applyAlignment="1">
      <alignment vertical="center"/>
    </xf>
    <xf numFmtId="0" fontId="27" fillId="3" borderId="20" xfId="1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3" fontId="24" fillId="8" borderId="52" xfId="0" applyNumberFormat="1" applyFont="1" applyFill="1" applyBorder="1" applyAlignment="1">
      <alignment vertical="center"/>
    </xf>
    <xf numFmtId="3" fontId="24" fillId="8" borderId="29" xfId="0" applyNumberFormat="1" applyFont="1" applyFill="1" applyBorder="1" applyAlignment="1">
      <alignment vertical="center"/>
    </xf>
    <xf numFmtId="3" fontId="24" fillId="8" borderId="30" xfId="0" applyNumberFormat="1" applyFont="1" applyFill="1" applyBorder="1" applyAlignment="1">
      <alignment horizontal="right" vertical="center"/>
    </xf>
    <xf numFmtId="3" fontId="24" fillId="8" borderId="1" xfId="0" applyNumberFormat="1" applyFont="1" applyFill="1" applyBorder="1" applyAlignment="1">
      <alignment horizontal="right" vertical="center"/>
    </xf>
    <xf numFmtId="3" fontId="24" fillId="8" borderId="6" xfId="0" applyNumberFormat="1" applyFont="1" applyFill="1" applyBorder="1" applyAlignment="1">
      <alignment vertical="center"/>
    </xf>
    <xf numFmtId="3" fontId="24" fillId="8" borderId="4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/>
    <xf numFmtId="0" fontId="24" fillId="8" borderId="1" xfId="0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vertical="center"/>
    </xf>
    <xf numFmtId="3" fontId="7" fillId="8" borderId="1" xfId="0" applyNumberFormat="1" applyFont="1" applyFill="1" applyBorder="1"/>
    <xf numFmtId="3" fontId="7" fillId="8" borderId="1" xfId="0" applyNumberFormat="1" applyFont="1" applyFill="1" applyBorder="1" applyAlignment="1">
      <alignment vertical="center"/>
    </xf>
    <xf numFmtId="3" fontId="7" fillId="8" borderId="11" xfId="0" applyNumberFormat="1" applyFont="1" applyFill="1" applyBorder="1" applyAlignment="1">
      <alignment vertical="center"/>
    </xf>
    <xf numFmtId="3" fontId="36" fillId="8" borderId="11" xfId="0" applyNumberFormat="1" applyFont="1" applyFill="1" applyBorder="1" applyAlignment="1">
      <alignment vertical="center"/>
    </xf>
    <xf numFmtId="3" fontId="36" fillId="8" borderId="1" xfId="0" applyNumberFormat="1" applyFont="1" applyFill="1" applyBorder="1" applyAlignment="1">
      <alignment vertical="center"/>
    </xf>
    <xf numFmtId="3" fontId="24" fillId="8" borderId="1" xfId="0" applyNumberFormat="1" applyFont="1" applyFill="1" applyBorder="1"/>
    <xf numFmtId="3" fontId="24" fillId="8" borderId="1" xfId="0" applyNumberFormat="1" applyFont="1" applyFill="1" applyBorder="1" applyAlignment="1">
      <alignment vertical="center"/>
    </xf>
    <xf numFmtId="3" fontId="31" fillId="8" borderId="1" xfId="0" applyNumberFormat="1" applyFont="1" applyFill="1" applyBorder="1" applyAlignment="1">
      <alignment vertical="center"/>
    </xf>
    <xf numFmtId="3" fontId="25" fillId="8" borderId="11" xfId="0" applyNumberFormat="1" applyFont="1" applyFill="1" applyBorder="1" applyAlignment="1">
      <alignment vertical="center"/>
    </xf>
    <xf numFmtId="3" fontId="37" fillId="8" borderId="11" xfId="0" applyNumberFormat="1" applyFont="1" applyFill="1" applyBorder="1" applyAlignment="1">
      <alignment vertical="center"/>
    </xf>
    <xf numFmtId="0" fontId="14" fillId="3" borderId="55" xfId="0" applyFont="1" applyFill="1" applyBorder="1" applyAlignment="1">
      <alignment vertical="center"/>
    </xf>
    <xf numFmtId="3" fontId="14" fillId="3" borderId="55" xfId="0" applyNumberFormat="1" applyFont="1" applyFill="1" applyBorder="1" applyAlignment="1">
      <alignment vertical="center"/>
    </xf>
    <xf numFmtId="3" fontId="23" fillId="3" borderId="55" xfId="0" applyNumberFormat="1" applyFont="1" applyFill="1" applyBorder="1" applyAlignment="1">
      <alignment vertical="center"/>
    </xf>
    <xf numFmtId="0" fontId="5" fillId="0" borderId="30" xfId="0" applyFont="1" applyBorder="1"/>
    <xf numFmtId="3" fontId="5" fillId="0" borderId="30" xfId="0" applyNumberFormat="1" applyFont="1" applyBorder="1"/>
    <xf numFmtId="3" fontId="5" fillId="0" borderId="20" xfId="0" applyNumberFormat="1" applyFont="1" applyBorder="1"/>
    <xf numFmtId="0" fontId="4" fillId="3" borderId="10" xfId="1" applyFont="1" applyFill="1" applyBorder="1" applyAlignment="1">
      <alignment horizontal="center" vertical="center"/>
    </xf>
    <xf numFmtId="3" fontId="5" fillId="3" borderId="22" xfId="1" applyNumberFormat="1" applyFont="1" applyFill="1" applyBorder="1" applyAlignment="1">
      <alignment vertical="center"/>
    </xf>
    <xf numFmtId="3" fontId="24" fillId="2" borderId="15" xfId="1" applyNumberFormat="1" applyFont="1" applyFill="1" applyBorder="1" applyAlignment="1">
      <alignment vertical="center"/>
    </xf>
    <xf numFmtId="3" fontId="5" fillId="2" borderId="39" xfId="1" applyNumberFormat="1" applyFont="1" applyFill="1" applyBorder="1" applyAlignment="1">
      <alignment vertical="center"/>
    </xf>
    <xf numFmtId="3" fontId="5" fillId="2" borderId="36" xfId="1" applyNumberFormat="1" applyFont="1" applyFill="1" applyBorder="1" applyAlignment="1">
      <alignment vertical="center"/>
    </xf>
    <xf numFmtId="0" fontId="4" fillId="2" borderId="42" xfId="1" applyFont="1" applyFill="1" applyBorder="1" applyAlignment="1">
      <alignment horizontal="center" vertical="center"/>
    </xf>
    <xf numFmtId="3" fontId="5" fillId="2" borderId="42" xfId="1" applyNumberFormat="1" applyFont="1" applyFill="1" applyBorder="1" applyAlignment="1">
      <alignment vertical="center"/>
    </xf>
    <xf numFmtId="3" fontId="24" fillId="3" borderId="10" xfId="1" applyNumberFormat="1" applyFont="1" applyFill="1" applyBorder="1" applyAlignment="1">
      <alignment vertical="center"/>
    </xf>
    <xf numFmtId="3" fontId="5" fillId="2" borderId="17" xfId="1" applyNumberFormat="1" applyFont="1" applyFill="1" applyBorder="1" applyAlignment="1">
      <alignment vertical="center"/>
    </xf>
    <xf numFmtId="3" fontId="24" fillId="2" borderId="5" xfId="1" applyNumberFormat="1" applyFont="1" applyFill="1" applyBorder="1" applyAlignment="1">
      <alignment vertical="center"/>
    </xf>
    <xf numFmtId="3" fontId="24" fillId="2" borderId="56" xfId="1" applyNumberFormat="1" applyFont="1" applyFill="1" applyBorder="1" applyAlignment="1">
      <alignment vertical="center"/>
    </xf>
    <xf numFmtId="3" fontId="24" fillId="3" borderId="0" xfId="1" applyNumberFormat="1" applyFont="1" applyFill="1" applyBorder="1" applyAlignment="1">
      <alignment vertical="center"/>
    </xf>
    <xf numFmtId="0" fontId="0" fillId="3" borderId="0" xfId="0" applyFill="1" applyBorder="1"/>
    <xf numFmtId="10" fontId="5" fillId="3" borderId="0" xfId="2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42" xfId="1" applyFont="1" applyFill="1" applyBorder="1" applyAlignment="1">
      <alignment horizontal="center" vertical="center"/>
    </xf>
    <xf numFmtId="3" fontId="5" fillId="3" borderId="36" xfId="1" applyNumberFormat="1" applyFont="1" applyFill="1" applyBorder="1" applyAlignment="1">
      <alignment vertical="center"/>
    </xf>
    <xf numFmtId="3" fontId="5" fillId="3" borderId="39" xfId="1" applyNumberFormat="1" applyFont="1" applyFill="1" applyBorder="1" applyAlignment="1">
      <alignment vertical="center"/>
    </xf>
    <xf numFmtId="3" fontId="5" fillId="3" borderId="42" xfId="1" applyNumberFormat="1" applyFont="1" applyFill="1" applyBorder="1" applyAlignment="1">
      <alignment vertical="center"/>
    </xf>
    <xf numFmtId="0" fontId="4" fillId="2" borderId="29" xfId="1" applyFont="1" applyFill="1" applyBorder="1" applyAlignment="1">
      <alignment horizontal="center" vertical="center"/>
    </xf>
    <xf numFmtId="3" fontId="5" fillId="2" borderId="52" xfId="1" applyNumberFormat="1" applyFont="1" applyFill="1" applyBorder="1" applyAlignment="1">
      <alignment vertical="center"/>
    </xf>
    <xf numFmtId="3" fontId="5" fillId="2" borderId="30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3" fontId="5" fillId="3" borderId="16" xfId="1" applyNumberFormat="1" applyFont="1" applyFill="1" applyBorder="1" applyAlignment="1">
      <alignment vertical="center"/>
    </xf>
    <xf numFmtId="3" fontId="5" fillId="3" borderId="0" xfId="1" applyNumberFormat="1" applyFont="1" applyFill="1" applyBorder="1" applyAlignment="1">
      <alignment vertical="center"/>
    </xf>
    <xf numFmtId="3" fontId="24" fillId="3" borderId="56" xfId="1" applyNumberFormat="1" applyFont="1" applyFill="1" applyBorder="1" applyAlignment="1">
      <alignment vertical="center"/>
    </xf>
    <xf numFmtId="0" fontId="4" fillId="3" borderId="28" xfId="1" applyFont="1" applyFill="1" applyBorder="1" applyAlignment="1">
      <alignment horizontal="center" vertical="center" wrapText="1"/>
    </xf>
    <xf numFmtId="3" fontId="5" fillId="3" borderId="17" xfId="1" applyNumberFormat="1" applyFont="1" applyFill="1" applyBorder="1" applyAlignment="1">
      <alignment vertical="center"/>
    </xf>
    <xf numFmtId="3" fontId="24" fillId="3" borderId="57" xfId="1" applyNumberFormat="1" applyFont="1" applyFill="1" applyBorder="1" applyAlignment="1">
      <alignment vertical="center"/>
    </xf>
    <xf numFmtId="3" fontId="24" fillId="8" borderId="1" xfId="1" applyNumberFormat="1" applyFont="1" applyFill="1" applyBorder="1" applyAlignment="1">
      <alignment vertical="center"/>
    </xf>
    <xf numFmtId="3" fontId="8" fillId="2" borderId="1" xfId="1" applyNumberFormat="1" applyFont="1" applyFill="1" applyBorder="1" applyAlignment="1">
      <alignment vertical="center"/>
    </xf>
    <xf numFmtId="0" fontId="4" fillId="3" borderId="15" xfId="1" applyFont="1" applyFill="1" applyBorder="1" applyAlignment="1">
      <alignment horizontal="center" vertical="center"/>
    </xf>
    <xf numFmtId="3" fontId="8" fillId="3" borderId="13" xfId="1" applyNumberFormat="1" applyFont="1" applyFill="1" applyBorder="1" applyAlignment="1">
      <alignment vertical="center"/>
    </xf>
    <xf numFmtId="10" fontId="5" fillId="3" borderId="13" xfId="2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vertical="center"/>
    </xf>
    <xf numFmtId="3" fontId="5" fillId="2" borderId="22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3" fontId="5" fillId="3" borderId="36" xfId="0" applyNumberFormat="1" applyFont="1" applyFill="1" applyBorder="1"/>
    <xf numFmtId="3" fontId="8" fillId="3" borderId="1" xfId="0" applyNumberFormat="1" applyFont="1" applyFill="1" applyBorder="1"/>
    <xf numFmtId="10" fontId="5" fillId="3" borderId="14" xfId="2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10" fontId="5" fillId="2" borderId="1" xfId="6" applyNumberFormat="1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0" fillId="3" borderId="0" xfId="0" applyFill="1"/>
    <xf numFmtId="10" fontId="5" fillId="3" borderId="1" xfId="14" applyNumberFormat="1" applyFont="1" applyFill="1" applyBorder="1"/>
    <xf numFmtId="3" fontId="12" fillId="2" borderId="4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/>
    </xf>
    <xf numFmtId="3" fontId="5" fillId="3" borderId="1" xfId="0" applyNumberFormat="1" applyFont="1" applyFill="1" applyBorder="1"/>
    <xf numFmtId="0" fontId="5" fillId="3" borderId="0" xfId="0" applyFont="1" applyFill="1"/>
    <xf numFmtId="0" fontId="4" fillId="3" borderId="18" xfId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3" fontId="8" fillId="4" borderId="11" xfId="0" applyNumberFormat="1" applyFont="1" applyFill="1" applyBorder="1" applyAlignment="1">
      <alignment vertical="center"/>
    </xf>
    <xf numFmtId="3" fontId="8" fillId="2" borderId="15" xfId="0" applyNumberFormat="1" applyFont="1" applyFill="1" applyBorder="1" applyAlignment="1">
      <alignment vertical="center"/>
    </xf>
    <xf numFmtId="3" fontId="11" fillId="4" borderId="11" xfId="0" applyNumberFormat="1" applyFont="1" applyFill="1" applyBorder="1" applyAlignment="1">
      <alignment vertical="center"/>
    </xf>
    <xf numFmtId="3" fontId="8" fillId="2" borderId="11" xfId="0" applyNumberFormat="1" applyFont="1" applyFill="1" applyBorder="1" applyAlignment="1">
      <alignment vertical="center"/>
    </xf>
    <xf numFmtId="3" fontId="11" fillId="2" borderId="11" xfId="0" applyNumberFormat="1" applyFont="1" applyFill="1" applyBorder="1" applyAlignment="1">
      <alignment vertical="center"/>
    </xf>
    <xf numFmtId="3" fontId="8" fillId="3" borderId="11" xfId="0" applyNumberFormat="1" applyFont="1" applyFill="1" applyBorder="1"/>
    <xf numFmtId="3" fontId="8" fillId="8" borderId="20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4" fillId="3" borderId="21" xfId="0" applyFont="1" applyFill="1" applyBorder="1" applyAlignment="1">
      <alignment horizontal="center" vertical="center"/>
    </xf>
    <xf numFmtId="3" fontId="5" fillId="2" borderId="60" xfId="0" applyNumberFormat="1" applyFont="1" applyFill="1" applyBorder="1" applyAlignment="1">
      <alignment vertical="center"/>
    </xf>
    <xf numFmtId="3" fontId="5" fillId="8" borderId="38" xfId="0" applyNumberFormat="1" applyFont="1" applyFill="1" applyBorder="1" applyAlignment="1">
      <alignment vertical="center"/>
    </xf>
    <xf numFmtId="3" fontId="5" fillId="4" borderId="7" xfId="0" applyNumberFormat="1" applyFont="1" applyFill="1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3" fontId="5" fillId="3" borderId="7" xfId="0" applyNumberFormat="1" applyFont="1" applyFill="1" applyBorder="1"/>
    <xf numFmtId="0" fontId="4" fillId="2" borderId="0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3" fontId="5" fillId="2" borderId="25" xfId="0" applyNumberFormat="1" applyFont="1" applyFill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166" fontId="5" fillId="3" borderId="36" xfId="13" applyNumberFormat="1" applyFont="1" applyFill="1" applyBorder="1"/>
    <xf numFmtId="2" fontId="5" fillId="3" borderId="36" xfId="13" applyNumberFormat="1" applyFont="1" applyFill="1" applyBorder="1"/>
    <xf numFmtId="1" fontId="5" fillId="3" borderId="36" xfId="13" applyNumberFormat="1" applyFont="1" applyFill="1" applyBorder="1"/>
    <xf numFmtId="166" fontId="8" fillId="3" borderId="1" xfId="13" applyNumberFormat="1" applyFont="1" applyFill="1" applyBorder="1"/>
    <xf numFmtId="3" fontId="5" fillId="3" borderId="16" xfId="0" applyNumberFormat="1" applyFont="1" applyFill="1" applyBorder="1" applyAlignment="1">
      <alignment vertical="center" wrapText="1"/>
    </xf>
    <xf numFmtId="3" fontId="5" fillId="3" borderId="36" xfId="0" applyNumberFormat="1" applyFont="1" applyFill="1" applyBorder="1" applyAlignment="1">
      <alignment vertical="center"/>
    </xf>
    <xf numFmtId="3" fontId="5" fillId="2" borderId="22" xfId="0" applyNumberFormat="1" applyFont="1" applyFill="1" applyBorder="1" applyAlignment="1">
      <alignment vertical="center"/>
    </xf>
    <xf numFmtId="3" fontId="12" fillId="2" borderId="3" xfId="0" applyNumberFormat="1" applyFont="1" applyFill="1" applyBorder="1" applyAlignment="1">
      <alignment vertical="center"/>
    </xf>
    <xf numFmtId="10" fontId="5" fillId="2" borderId="12" xfId="6" applyNumberFormat="1" applyFont="1" applyFill="1" applyBorder="1" applyAlignment="1">
      <alignment vertical="center"/>
    </xf>
    <xf numFmtId="3" fontId="5" fillId="2" borderId="23" xfId="0" applyNumberFormat="1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vertical="center"/>
    </xf>
    <xf numFmtId="3" fontId="8" fillId="3" borderId="14" xfId="0" applyNumberFormat="1" applyFont="1" applyFill="1" applyBorder="1" applyAlignment="1">
      <alignment vertical="center"/>
    </xf>
    <xf numFmtId="3" fontId="5" fillId="3" borderId="39" xfId="0" applyNumberFormat="1" applyFont="1" applyFill="1" applyBorder="1"/>
    <xf numFmtId="3" fontId="5" fillId="3" borderId="61" xfId="0" applyNumberFormat="1" applyFont="1" applyFill="1" applyBorder="1"/>
    <xf numFmtId="3" fontId="5" fillId="3" borderId="61" xfId="0" applyNumberFormat="1" applyFont="1" applyFill="1" applyBorder="1" applyAlignment="1">
      <alignment vertical="center"/>
    </xf>
    <xf numFmtId="3" fontId="8" fillId="3" borderId="12" xfId="0" applyNumberFormat="1" applyFont="1" applyFill="1" applyBorder="1"/>
    <xf numFmtId="3" fontId="5" fillId="8" borderId="3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 wrapText="1"/>
    </xf>
    <xf numFmtId="10" fontId="5" fillId="2" borderId="12" xfId="0" applyNumberFormat="1" applyFont="1" applyFill="1" applyBorder="1" applyAlignment="1">
      <alignment vertical="center" wrapText="1"/>
    </xf>
    <xf numFmtId="3" fontId="5" fillId="3" borderId="12" xfId="0" applyNumberFormat="1" applyFont="1" applyFill="1" applyBorder="1"/>
    <xf numFmtId="3" fontId="12" fillId="8" borderId="3" xfId="0" applyNumberFormat="1" applyFont="1" applyFill="1" applyBorder="1" applyAlignment="1">
      <alignment vertical="center"/>
    </xf>
    <xf numFmtId="3" fontId="12" fillId="2" borderId="7" xfId="0" applyNumberFormat="1" applyFont="1" applyFill="1" applyBorder="1" applyAlignment="1">
      <alignment vertical="center"/>
    </xf>
    <xf numFmtId="3" fontId="5" fillId="8" borderId="7" xfId="0" applyNumberFormat="1" applyFont="1" applyFill="1" applyBorder="1" applyAlignment="1">
      <alignment vertical="center"/>
    </xf>
    <xf numFmtId="164" fontId="5" fillId="3" borderId="13" xfId="6" applyNumberFormat="1" applyFont="1" applyFill="1" applyBorder="1" applyAlignment="1">
      <alignment vertical="center"/>
    </xf>
    <xf numFmtId="166" fontId="5" fillId="3" borderId="7" xfId="13" applyNumberFormat="1" applyFont="1" applyFill="1" applyBorder="1"/>
    <xf numFmtId="166" fontId="8" fillId="3" borderId="11" xfId="13" applyNumberFormat="1" applyFont="1" applyFill="1" applyBorder="1"/>
    <xf numFmtId="0" fontId="19" fillId="2" borderId="2" xfId="0" applyFont="1" applyFill="1" applyBorder="1" applyAlignment="1">
      <alignment horizontal="center" vertical="center"/>
    </xf>
    <xf numFmtId="2" fontId="5" fillId="3" borderId="7" xfId="13" applyNumberFormat="1" applyFont="1" applyFill="1" applyBorder="1"/>
    <xf numFmtId="1" fontId="5" fillId="3" borderId="7" xfId="13" applyNumberFormat="1" applyFont="1" applyFill="1" applyBorder="1"/>
    <xf numFmtId="3" fontId="5" fillId="3" borderId="1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0" fontId="5" fillId="3" borderId="1" xfId="6" applyNumberFormat="1" applyFont="1" applyFill="1" applyBorder="1" applyAlignment="1">
      <alignment horizontal="center" vertical="center"/>
    </xf>
    <xf numFmtId="10" fontId="5" fillId="2" borderId="1" xfId="6" applyNumberFormat="1" applyFont="1" applyFill="1" applyBorder="1" applyAlignment="1">
      <alignment horizontal="center" vertical="center"/>
    </xf>
    <xf numFmtId="10" fontId="5" fillId="3" borderId="1" xfId="14" applyNumberFormat="1" applyFont="1" applyFill="1" applyBorder="1" applyAlignment="1">
      <alignment horizontal="center" vertical="center"/>
    </xf>
    <xf numFmtId="164" fontId="5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0" xfId="1" applyFont="1" applyBorder="1" applyAlignment="1">
      <alignment horizontal="center" vertical="center" wrapText="1"/>
    </xf>
    <xf numFmtId="0" fontId="41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2" fillId="2" borderId="8" xfId="1" applyFill="1" applyBorder="1" applyAlignment="1">
      <alignment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vertical="center" wrapText="1"/>
    </xf>
    <xf numFmtId="2" fontId="5" fillId="0" borderId="53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7" fillId="8" borderId="6" xfId="1" applyFont="1" applyFill="1" applyBorder="1" applyAlignment="1">
      <alignment horizontal="center" vertical="center" wrapText="1"/>
    </xf>
    <xf numFmtId="0" fontId="44" fillId="8" borderId="4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vertical="center" wrapText="1"/>
    </xf>
    <xf numFmtId="2" fontId="5" fillId="0" borderId="53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44" fillId="8" borderId="29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8" fillId="2" borderId="1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5" fillId="0" borderId="44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vertical="center" wrapText="1"/>
    </xf>
    <xf numFmtId="2" fontId="5" fillId="0" borderId="5" xfId="0" applyNumberFormat="1" applyFont="1" applyBorder="1" applyAlignment="1">
      <alignment horizontal="center" wrapText="1"/>
    </xf>
    <xf numFmtId="2" fontId="5" fillId="0" borderId="56" xfId="0" applyNumberFormat="1" applyFont="1" applyBorder="1" applyAlignment="1">
      <alignment horizontal="center" wrapText="1"/>
    </xf>
    <xf numFmtId="2" fontId="5" fillId="0" borderId="57" xfId="0" applyNumberFormat="1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vertical="center" wrapText="1"/>
    </xf>
    <xf numFmtId="0" fontId="44" fillId="8" borderId="5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44" fillId="8" borderId="30" xfId="0" applyFont="1" applyFill="1" applyBorder="1" applyAlignment="1">
      <alignment horizontal="center" vertical="center" wrapText="1"/>
    </xf>
    <xf numFmtId="0" fontId="45" fillId="8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45" fillId="8" borderId="3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wrapText="1"/>
    </xf>
    <xf numFmtId="0" fontId="20" fillId="5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44" fillId="8" borderId="17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44" fillId="8" borderId="9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2" borderId="31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wrapText="1"/>
    </xf>
    <xf numFmtId="0" fontId="5" fillId="2" borderId="12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wrapText="1"/>
    </xf>
    <xf numFmtId="0" fontId="28" fillId="2" borderId="2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1" fillId="8" borderId="24" xfId="0" applyFont="1" applyFill="1" applyBorder="1" applyAlignment="1">
      <alignment horizontal="center" vertical="center" wrapText="1"/>
    </xf>
    <xf numFmtId="0" fontId="47" fillId="8" borderId="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20" xfId="0" applyFont="1" applyBorder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46" fillId="8" borderId="4" xfId="0" applyFont="1" applyFill="1" applyBorder="1" applyAlignment="1">
      <alignment horizontal="center" vertical="center" wrapText="1"/>
    </xf>
    <xf numFmtId="0" fontId="34" fillId="8" borderId="10" xfId="0" applyFont="1" applyFill="1" applyBorder="1" applyAlignment="1">
      <alignment horizontal="right" vertical="center" wrapText="1"/>
    </xf>
    <xf numFmtId="0" fontId="35" fillId="8" borderId="20" xfId="0" applyFont="1" applyFill="1" applyBorder="1" applyAlignment="1">
      <alignment vertical="center" wrapText="1"/>
    </xf>
    <xf numFmtId="165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vertical="center" wrapText="1"/>
    </xf>
    <xf numFmtId="0" fontId="22" fillId="3" borderId="38" xfId="0" applyFont="1" applyFill="1" applyBorder="1" applyAlignment="1">
      <alignment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vertical="center" wrapText="1"/>
    </xf>
    <xf numFmtId="0" fontId="22" fillId="3" borderId="41" xfId="0" applyFont="1" applyFill="1" applyBorder="1" applyAlignment="1">
      <alignment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15">
    <cellStyle name="Comma" xfId="13" builtinId="3"/>
    <cellStyle name="Comma 2" xfId="8"/>
    <cellStyle name="Currency 2" xfId="9"/>
    <cellStyle name="Normal" xfId="0" builtinId="0"/>
    <cellStyle name="Normal 2" xfId="3"/>
    <cellStyle name="Normal 2 2" xfId="10"/>
    <cellStyle name="Normal 2 3" xfId="11"/>
    <cellStyle name="Normal 3" xfId="7"/>
    <cellStyle name="Normal 3 2" xfId="12"/>
    <cellStyle name="Normal 4" xfId="5"/>
    <cellStyle name="Normal 5" xfId="4"/>
    <cellStyle name="Normal 6" xfId="1"/>
    <cellStyle name="Percent" xfId="14" builtinId="5"/>
    <cellStyle name="Percent 2" xfId="6"/>
    <cellStyle name="Percent 3" xfId="2"/>
  </cellStyles>
  <dxfs count="0"/>
  <tableStyles count="0" defaultTableStyle="TableStyleMedium2" defaultPivotStyle="PivotStyleLight16"/>
  <colors>
    <mruColors>
      <color rgb="FFFFFFCC"/>
      <color rgb="FFF8F8F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edonija%20Q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Kroacija%20Q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Zoi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Kroacija%20zivot%20Q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Grawe%20zivot%20Q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Viner%20zivot%20Q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Unika%20zivot%20Q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Triglav%20zivot%20Q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PrvaZiv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SP%203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iglav%20Q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vroins%20Q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ava%20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urolink%20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Grawe%20Q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Unika%20Q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Osigpolisa%20Q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alk%20Q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4_NR"/>
      <sheetName val="STA_SP5_NR"/>
      <sheetName val="STA_SP8_NR"/>
      <sheetName val="STA_SP99"/>
      <sheetName val="DEC_SP - #5"/>
    </sheetNames>
    <sheetDataSet>
      <sheetData sheetId="0" refreshError="1"/>
      <sheetData sheetId="1">
        <row r="10">
          <cell r="C10">
            <v>52710</v>
          </cell>
          <cell r="D10">
            <v>84393.56</v>
          </cell>
          <cell r="F10">
            <v>499</v>
          </cell>
          <cell r="G10">
            <v>29602.75</v>
          </cell>
          <cell r="H10">
            <v>164</v>
          </cell>
          <cell r="I10">
            <v>10237.27</v>
          </cell>
        </row>
        <row r="20">
          <cell r="C20">
            <v>939</v>
          </cell>
          <cell r="D20">
            <v>164378.42000000001</v>
          </cell>
          <cell r="F20">
            <v>8488</v>
          </cell>
          <cell r="G20">
            <v>85899.76</v>
          </cell>
          <cell r="H20">
            <v>246</v>
          </cell>
          <cell r="I20">
            <v>8030.93</v>
          </cell>
        </row>
        <row r="24">
          <cell r="C24">
            <v>3841</v>
          </cell>
          <cell r="D24">
            <v>97394.86</v>
          </cell>
          <cell r="F24">
            <v>454</v>
          </cell>
          <cell r="G24">
            <v>45217.04</v>
          </cell>
          <cell r="H24">
            <v>287</v>
          </cell>
          <cell r="I24">
            <v>38929.949999999997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4</v>
          </cell>
          <cell r="D33">
            <v>225.65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88</v>
          </cell>
          <cell r="D36">
            <v>12900.84</v>
          </cell>
          <cell r="F36">
            <v>2</v>
          </cell>
          <cell r="G36">
            <v>48.68</v>
          </cell>
          <cell r="H36">
            <v>4</v>
          </cell>
          <cell r="I36">
            <v>629.46</v>
          </cell>
        </row>
        <row r="40">
          <cell r="C40">
            <v>7973</v>
          </cell>
          <cell r="D40">
            <v>136554.79</v>
          </cell>
          <cell r="F40">
            <v>29</v>
          </cell>
          <cell r="G40">
            <v>23709.77</v>
          </cell>
          <cell r="H40">
            <v>39</v>
          </cell>
          <cell r="I40">
            <v>319110.83</v>
          </cell>
        </row>
        <row r="56">
          <cell r="C56">
            <v>8760</v>
          </cell>
          <cell r="D56">
            <v>237262.11</v>
          </cell>
          <cell r="F56">
            <v>398</v>
          </cell>
          <cell r="G56">
            <v>41503.360000000001</v>
          </cell>
          <cell r="H56">
            <v>193</v>
          </cell>
          <cell r="I56">
            <v>177765.58</v>
          </cell>
        </row>
        <row r="88">
          <cell r="C88">
            <v>78270</v>
          </cell>
          <cell r="D88">
            <v>446548.04</v>
          </cell>
          <cell r="F88">
            <v>2405</v>
          </cell>
          <cell r="G88">
            <v>191095.69</v>
          </cell>
          <cell r="H88">
            <v>1766</v>
          </cell>
          <cell r="I88">
            <v>313884.14</v>
          </cell>
        </row>
        <row r="124">
          <cell r="C124">
            <v>10</v>
          </cell>
          <cell r="D124">
            <v>39.630000000000003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83</v>
          </cell>
          <cell r="D128">
            <v>407.06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3201</v>
          </cell>
          <cell r="D132">
            <v>35595.43</v>
          </cell>
          <cell r="F132">
            <v>25</v>
          </cell>
          <cell r="G132">
            <v>2827.82</v>
          </cell>
          <cell r="H132">
            <v>78</v>
          </cell>
          <cell r="I132">
            <v>26623.45</v>
          </cell>
        </row>
        <row r="153">
          <cell r="C153">
            <v>765</v>
          </cell>
          <cell r="D153">
            <v>6304.95</v>
          </cell>
          <cell r="F153">
            <v>1</v>
          </cell>
          <cell r="G153">
            <v>29.77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18</v>
          </cell>
          <cell r="D161">
            <v>4394.3599999999997</v>
          </cell>
          <cell r="F161">
            <v>16</v>
          </cell>
          <cell r="G161">
            <v>484.18</v>
          </cell>
          <cell r="H161">
            <v>4</v>
          </cell>
          <cell r="I161">
            <v>11231.12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16126</v>
          </cell>
          <cell r="D170">
            <v>13016.33</v>
          </cell>
          <cell r="F170">
            <v>156</v>
          </cell>
          <cell r="G170">
            <v>5034.87</v>
          </cell>
          <cell r="H170">
            <v>76</v>
          </cell>
          <cell r="I170">
            <v>1271.47</v>
          </cell>
        </row>
        <row r="175">
          <cell r="C175">
            <v>111183</v>
          </cell>
        </row>
      </sheetData>
      <sheetData sheetId="2">
        <row r="11">
          <cell r="C11">
            <v>44243</v>
          </cell>
          <cell r="D11">
            <v>245990.32</v>
          </cell>
          <cell r="J11">
            <v>1917</v>
          </cell>
          <cell r="K11">
            <v>131211.32</v>
          </cell>
        </row>
        <row r="12">
          <cell r="C12">
            <v>5270</v>
          </cell>
          <cell r="D12">
            <v>61234.03</v>
          </cell>
          <cell r="J12">
            <v>265</v>
          </cell>
          <cell r="K12">
            <v>19797.78</v>
          </cell>
        </row>
        <row r="13">
          <cell r="C13">
            <v>291</v>
          </cell>
          <cell r="D13">
            <v>6182.03</v>
          </cell>
          <cell r="J13">
            <v>46</v>
          </cell>
          <cell r="K13">
            <v>6595.88</v>
          </cell>
        </row>
        <row r="14">
          <cell r="C14">
            <v>1957</v>
          </cell>
          <cell r="D14">
            <v>1496.36</v>
          </cell>
          <cell r="J14">
            <v>9</v>
          </cell>
          <cell r="K14">
            <v>637.94000000000005</v>
          </cell>
        </row>
        <row r="15">
          <cell r="C15">
            <v>61</v>
          </cell>
          <cell r="D15">
            <v>170.15</v>
          </cell>
          <cell r="J15">
            <v>1</v>
          </cell>
          <cell r="K15">
            <v>541.55999999999995</v>
          </cell>
        </row>
        <row r="16">
          <cell r="C16">
            <v>5474</v>
          </cell>
          <cell r="D16">
            <v>8801.9500000000007</v>
          </cell>
          <cell r="J16">
            <v>35</v>
          </cell>
          <cell r="K16">
            <v>4670.95</v>
          </cell>
        </row>
        <row r="17">
          <cell r="C17">
            <v>1654</v>
          </cell>
          <cell r="D17">
            <v>500.61</v>
          </cell>
          <cell r="J17">
            <v>2</v>
          </cell>
          <cell r="K17">
            <v>197.53</v>
          </cell>
        </row>
        <row r="18">
          <cell r="C18">
            <v>278</v>
          </cell>
          <cell r="D18">
            <v>923.52</v>
          </cell>
          <cell r="J18">
            <v>10</v>
          </cell>
          <cell r="K18">
            <v>622.34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50</v>
          </cell>
          <cell r="D23">
            <v>208.47</v>
          </cell>
          <cell r="J23">
            <v>0</v>
          </cell>
          <cell r="K23">
            <v>0</v>
          </cell>
        </row>
        <row r="25">
          <cell r="C25">
            <v>16292</v>
          </cell>
          <cell r="D25">
            <v>82355.7</v>
          </cell>
          <cell r="J25">
            <v>55</v>
          </cell>
          <cell r="K25">
            <v>8940.75</v>
          </cell>
        </row>
        <row r="26">
          <cell r="C26">
            <v>761</v>
          </cell>
          <cell r="D26">
            <v>13010.94</v>
          </cell>
          <cell r="J26">
            <v>51</v>
          </cell>
          <cell r="K26">
            <v>11848.46</v>
          </cell>
        </row>
        <row r="27">
          <cell r="C27">
            <v>108</v>
          </cell>
          <cell r="D27">
            <v>1850.09</v>
          </cell>
          <cell r="J27">
            <v>3</v>
          </cell>
          <cell r="K27">
            <v>381.37</v>
          </cell>
        </row>
        <row r="28">
          <cell r="C28">
            <v>7</v>
          </cell>
          <cell r="D28">
            <v>38.75</v>
          </cell>
          <cell r="J28">
            <v>0</v>
          </cell>
          <cell r="K28">
            <v>0</v>
          </cell>
        </row>
        <row r="29">
          <cell r="C29">
            <v>17</v>
          </cell>
          <cell r="D29">
            <v>94.11</v>
          </cell>
          <cell r="J29">
            <v>0</v>
          </cell>
          <cell r="K29">
            <v>0</v>
          </cell>
        </row>
        <row r="30">
          <cell r="C30">
            <v>522</v>
          </cell>
          <cell r="D30">
            <v>972</v>
          </cell>
          <cell r="J30">
            <v>0</v>
          </cell>
          <cell r="K30">
            <v>0</v>
          </cell>
        </row>
        <row r="31">
          <cell r="C31">
            <v>700</v>
          </cell>
          <cell r="D31">
            <v>3872.09</v>
          </cell>
          <cell r="J31">
            <v>1</v>
          </cell>
          <cell r="K31">
            <v>12.91</v>
          </cell>
        </row>
        <row r="32">
          <cell r="C32">
            <v>4</v>
          </cell>
          <cell r="D32">
            <v>22.14</v>
          </cell>
          <cell r="J32">
            <v>0</v>
          </cell>
          <cell r="K32">
            <v>0</v>
          </cell>
        </row>
        <row r="34">
          <cell r="C34">
            <v>182</v>
          </cell>
          <cell r="D34">
            <v>1318.46</v>
          </cell>
          <cell r="J34">
            <v>5</v>
          </cell>
          <cell r="K34">
            <v>2271.37</v>
          </cell>
        </row>
        <row r="35">
          <cell r="C35">
            <v>2</v>
          </cell>
          <cell r="D35">
            <v>7.39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6</v>
          </cell>
          <cell r="D39">
            <v>41.34</v>
          </cell>
          <cell r="J39">
            <v>0</v>
          </cell>
          <cell r="K39">
            <v>0</v>
          </cell>
        </row>
        <row r="40">
          <cell r="C40">
            <v>7</v>
          </cell>
          <cell r="D40">
            <v>7.09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59075.49</v>
          </cell>
        </row>
        <row r="11">
          <cell r="P11">
            <v>115064.89</v>
          </cell>
        </row>
        <row r="12">
          <cell r="P12">
            <v>68176.399999999994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146.66999999999999</v>
          </cell>
        </row>
        <row r="16">
          <cell r="P16">
            <v>7740.5</v>
          </cell>
        </row>
        <row r="17">
          <cell r="P17">
            <v>88760.61</v>
          </cell>
        </row>
        <row r="20">
          <cell r="P20">
            <v>154220.38</v>
          </cell>
        </row>
        <row r="26">
          <cell r="P26">
            <v>340446.31</v>
          </cell>
        </row>
        <row r="33">
          <cell r="P33">
            <v>25.76</v>
          </cell>
        </row>
        <row r="34">
          <cell r="P34">
            <v>264.58999999999997</v>
          </cell>
        </row>
        <row r="35">
          <cell r="P35">
            <v>23137.03</v>
          </cell>
        </row>
        <row r="36">
          <cell r="P36">
            <v>4098.22</v>
          </cell>
        </row>
        <row r="37">
          <cell r="P37">
            <v>0</v>
          </cell>
        </row>
        <row r="38">
          <cell r="P38">
            <v>2856.34</v>
          </cell>
        </row>
        <row r="39">
          <cell r="P39">
            <v>0</v>
          </cell>
        </row>
        <row r="40">
          <cell r="P40">
            <v>7235.54</v>
          </cell>
        </row>
      </sheetData>
      <sheetData sheetId="5">
        <row r="10">
          <cell r="C10">
            <v>65577.72</v>
          </cell>
          <cell r="G10">
            <v>32415.96</v>
          </cell>
          <cell r="K10">
            <v>0</v>
          </cell>
        </row>
        <row r="11">
          <cell r="C11">
            <v>137647.84</v>
          </cell>
          <cell r="G11">
            <v>9760.69</v>
          </cell>
          <cell r="K11">
            <v>8651.19</v>
          </cell>
        </row>
        <row r="12">
          <cell r="C12">
            <v>101114.52</v>
          </cell>
          <cell r="G12">
            <v>13973.73</v>
          </cell>
          <cell r="K12">
            <v>4072.15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182.41</v>
          </cell>
          <cell r="G15">
            <v>0</v>
          </cell>
          <cell r="K15">
            <v>0</v>
          </cell>
        </row>
        <row r="16">
          <cell r="C16">
            <v>1932.48</v>
          </cell>
          <cell r="G16">
            <v>379.75</v>
          </cell>
          <cell r="K16">
            <v>0</v>
          </cell>
        </row>
        <row r="17">
          <cell r="C17">
            <v>113614.29</v>
          </cell>
          <cell r="G17">
            <v>21190.71</v>
          </cell>
          <cell r="K17">
            <v>0</v>
          </cell>
        </row>
        <row r="20">
          <cell r="C20">
            <v>195021.71</v>
          </cell>
          <cell r="G20">
            <v>11804.6</v>
          </cell>
          <cell r="K20">
            <v>0</v>
          </cell>
        </row>
        <row r="26">
          <cell r="C26">
            <v>451047.24</v>
          </cell>
          <cell r="G26">
            <v>284591.71999999997</v>
          </cell>
          <cell r="K26">
            <v>0</v>
          </cell>
        </row>
        <row r="33">
          <cell r="C33">
            <v>31.16</v>
          </cell>
          <cell r="G33">
            <v>0</v>
          </cell>
          <cell r="K33">
            <v>0</v>
          </cell>
        </row>
        <row r="34">
          <cell r="C34">
            <v>416.96</v>
          </cell>
          <cell r="G34">
            <v>0</v>
          </cell>
          <cell r="K34">
            <v>0</v>
          </cell>
        </row>
        <row r="35">
          <cell r="C35">
            <v>37018.800000000003</v>
          </cell>
          <cell r="G35">
            <v>8501.4</v>
          </cell>
          <cell r="K35">
            <v>0</v>
          </cell>
        </row>
        <row r="36">
          <cell r="C36">
            <v>25995.34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5010.8900000000003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5604.24</v>
          </cell>
          <cell r="G40">
            <v>2017.86</v>
          </cell>
          <cell r="K40">
            <v>0</v>
          </cell>
        </row>
        <row r="41">
          <cell r="C41">
            <v>1140215.6000000001</v>
          </cell>
          <cell r="D41">
            <v>5303.32</v>
          </cell>
          <cell r="E41">
            <v>907714.2</v>
          </cell>
          <cell r="G41">
            <v>384636.42</v>
          </cell>
          <cell r="I41">
            <v>14215.84</v>
          </cell>
          <cell r="K41">
            <v>12723.34</v>
          </cell>
          <cell r="M41">
            <v>0</v>
          </cell>
        </row>
      </sheetData>
      <sheetData sheetId="6">
        <row r="9">
          <cell r="C9">
            <v>4427</v>
          </cell>
          <cell r="D9">
            <v>215196.79999999999</v>
          </cell>
        </row>
        <row r="18">
          <cell r="C18">
            <v>14435</v>
          </cell>
          <cell r="D18">
            <v>312847.59000000003</v>
          </cell>
          <cell r="E18">
            <v>60114.16</v>
          </cell>
        </row>
        <row r="19">
          <cell r="C19">
            <v>32511</v>
          </cell>
          <cell r="D19">
            <v>309073.31</v>
          </cell>
          <cell r="E19">
            <v>74966.31</v>
          </cell>
        </row>
        <row r="20">
          <cell r="C20">
            <v>679</v>
          </cell>
          <cell r="D20">
            <v>220.73</v>
          </cell>
          <cell r="E20">
            <v>66.23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2529</v>
          </cell>
          <cell r="D22">
            <v>36928.050000000003</v>
          </cell>
          <cell r="E22">
            <v>7723.73</v>
          </cell>
        </row>
        <row r="29">
          <cell r="C29">
            <v>56602</v>
          </cell>
          <cell r="D29">
            <v>365149.78</v>
          </cell>
          <cell r="E29">
            <v>100313.64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68346</v>
          </cell>
          <cell r="D10">
            <v>75887</v>
          </cell>
          <cell r="F10">
            <v>798</v>
          </cell>
          <cell r="G10">
            <v>36583</v>
          </cell>
          <cell r="H10">
            <v>415</v>
          </cell>
          <cell r="I10">
            <v>8761</v>
          </cell>
        </row>
        <row r="20">
          <cell r="C20">
            <v>1174</v>
          </cell>
          <cell r="D20">
            <v>210980</v>
          </cell>
          <cell r="F20">
            <v>9750</v>
          </cell>
          <cell r="G20">
            <v>91232</v>
          </cell>
          <cell r="H20">
            <v>885</v>
          </cell>
          <cell r="I20">
            <v>15558</v>
          </cell>
        </row>
        <row r="24">
          <cell r="C24">
            <v>2857</v>
          </cell>
          <cell r="D24">
            <v>91536</v>
          </cell>
          <cell r="F24">
            <v>354</v>
          </cell>
          <cell r="G24">
            <v>36184</v>
          </cell>
          <cell r="H24">
            <v>353</v>
          </cell>
          <cell r="I24">
            <v>27017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1</v>
          </cell>
          <cell r="D30">
            <v>1001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1</v>
          </cell>
          <cell r="D33">
            <v>50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13</v>
          </cell>
          <cell r="D36">
            <v>2465</v>
          </cell>
          <cell r="F36">
            <v>0</v>
          </cell>
          <cell r="G36">
            <v>0</v>
          </cell>
          <cell r="H36">
            <v>1</v>
          </cell>
          <cell r="I36">
            <v>12</v>
          </cell>
        </row>
        <row r="40">
          <cell r="C40">
            <v>11803</v>
          </cell>
          <cell r="D40">
            <v>44191</v>
          </cell>
          <cell r="F40">
            <v>19</v>
          </cell>
          <cell r="G40">
            <v>2769</v>
          </cell>
          <cell r="H40">
            <v>13</v>
          </cell>
          <cell r="I40">
            <v>39243</v>
          </cell>
        </row>
        <row r="56">
          <cell r="C56">
            <v>11005</v>
          </cell>
          <cell r="D56">
            <v>71556</v>
          </cell>
          <cell r="F56">
            <v>140</v>
          </cell>
          <cell r="G56">
            <v>8096</v>
          </cell>
          <cell r="H56">
            <v>64</v>
          </cell>
          <cell r="I56">
            <v>5690</v>
          </cell>
        </row>
        <row r="88">
          <cell r="C88">
            <v>69339</v>
          </cell>
          <cell r="D88">
            <v>367598</v>
          </cell>
          <cell r="F88">
            <v>1716</v>
          </cell>
          <cell r="G88">
            <v>129504</v>
          </cell>
          <cell r="H88">
            <v>1264</v>
          </cell>
          <cell r="I88">
            <v>233445</v>
          </cell>
        </row>
        <row r="124">
          <cell r="C124">
            <v>3</v>
          </cell>
          <cell r="D124">
            <v>1048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26</v>
          </cell>
          <cell r="D128">
            <v>115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10944</v>
          </cell>
          <cell r="D132">
            <v>14841</v>
          </cell>
          <cell r="F132">
            <v>18</v>
          </cell>
          <cell r="G132">
            <v>860</v>
          </cell>
          <cell r="H132">
            <v>4</v>
          </cell>
          <cell r="I132">
            <v>502</v>
          </cell>
        </row>
        <row r="153">
          <cell r="C153">
            <v>1419</v>
          </cell>
          <cell r="D153">
            <v>8002</v>
          </cell>
          <cell r="F153">
            <v>1</v>
          </cell>
          <cell r="G153">
            <v>12</v>
          </cell>
          <cell r="H153">
            <v>3</v>
          </cell>
          <cell r="I153">
            <v>60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18</v>
          </cell>
          <cell r="D161">
            <v>784</v>
          </cell>
          <cell r="F161">
            <v>1</v>
          </cell>
          <cell r="G161">
            <v>1162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18467</v>
          </cell>
          <cell r="D170">
            <v>17497</v>
          </cell>
          <cell r="F170">
            <v>152</v>
          </cell>
          <cell r="G170">
            <v>2851</v>
          </cell>
          <cell r="H170">
            <v>165</v>
          </cell>
          <cell r="I170">
            <v>5304</v>
          </cell>
        </row>
        <row r="175">
          <cell r="C175">
            <v>129540</v>
          </cell>
        </row>
      </sheetData>
      <sheetData sheetId="2">
        <row r="11">
          <cell r="C11">
            <v>39611</v>
          </cell>
          <cell r="D11">
            <v>224804</v>
          </cell>
          <cell r="J11">
            <v>1439</v>
          </cell>
          <cell r="K11">
            <v>95393</v>
          </cell>
        </row>
        <row r="12">
          <cell r="C12">
            <v>3803</v>
          </cell>
          <cell r="D12">
            <v>39413</v>
          </cell>
          <cell r="J12">
            <v>150</v>
          </cell>
          <cell r="K12">
            <v>9527</v>
          </cell>
        </row>
        <row r="13">
          <cell r="C13">
            <v>121</v>
          </cell>
          <cell r="D13">
            <v>2431</v>
          </cell>
          <cell r="J13">
            <v>11</v>
          </cell>
          <cell r="K13">
            <v>695</v>
          </cell>
        </row>
        <row r="14">
          <cell r="C14">
            <v>1636</v>
          </cell>
          <cell r="D14">
            <v>1315</v>
          </cell>
          <cell r="J14">
            <v>5</v>
          </cell>
          <cell r="K14">
            <v>150</v>
          </cell>
        </row>
        <row r="15">
          <cell r="C15">
            <v>49</v>
          </cell>
          <cell r="D15">
            <v>175</v>
          </cell>
          <cell r="J15">
            <v>3</v>
          </cell>
          <cell r="K15">
            <v>47</v>
          </cell>
        </row>
        <row r="16">
          <cell r="C16">
            <v>5958</v>
          </cell>
          <cell r="D16">
            <v>10387</v>
          </cell>
          <cell r="J16">
            <v>22</v>
          </cell>
          <cell r="K16">
            <v>1876</v>
          </cell>
        </row>
        <row r="17">
          <cell r="C17">
            <v>1176</v>
          </cell>
          <cell r="D17">
            <v>355</v>
          </cell>
          <cell r="J17">
            <v>1</v>
          </cell>
          <cell r="K17">
            <v>26</v>
          </cell>
        </row>
        <row r="18">
          <cell r="C18">
            <v>148</v>
          </cell>
          <cell r="D18">
            <v>553</v>
          </cell>
          <cell r="J18">
            <v>4</v>
          </cell>
          <cell r="K18">
            <v>320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1</v>
          </cell>
          <cell r="D23">
            <v>4</v>
          </cell>
          <cell r="J23">
            <v>0</v>
          </cell>
          <cell r="K23">
            <v>0</v>
          </cell>
        </row>
        <row r="25">
          <cell r="C25">
            <v>14946</v>
          </cell>
          <cell r="D25">
            <v>70331</v>
          </cell>
          <cell r="J25">
            <v>35</v>
          </cell>
          <cell r="K25">
            <v>12180</v>
          </cell>
        </row>
        <row r="26">
          <cell r="C26">
            <v>513</v>
          </cell>
          <cell r="D26">
            <v>8194</v>
          </cell>
          <cell r="J26">
            <v>39</v>
          </cell>
          <cell r="K26">
            <v>8737</v>
          </cell>
        </row>
        <row r="27">
          <cell r="C27">
            <v>36</v>
          </cell>
          <cell r="D27">
            <v>569</v>
          </cell>
          <cell r="J27">
            <v>3</v>
          </cell>
          <cell r="K27">
            <v>462</v>
          </cell>
        </row>
        <row r="28">
          <cell r="C28">
            <v>4</v>
          </cell>
          <cell r="D28">
            <v>22</v>
          </cell>
          <cell r="J28">
            <v>0</v>
          </cell>
          <cell r="K28">
            <v>0</v>
          </cell>
        </row>
        <row r="29">
          <cell r="C29">
            <v>6</v>
          </cell>
          <cell r="D29">
            <v>33</v>
          </cell>
          <cell r="J29">
            <v>0</v>
          </cell>
          <cell r="K29">
            <v>0</v>
          </cell>
        </row>
        <row r="30">
          <cell r="C30">
            <v>603</v>
          </cell>
          <cell r="D30">
            <v>1072</v>
          </cell>
          <cell r="J30">
            <v>1</v>
          </cell>
          <cell r="K30">
            <v>12</v>
          </cell>
        </row>
        <row r="31">
          <cell r="C31">
            <v>461</v>
          </cell>
          <cell r="D31">
            <v>2447</v>
          </cell>
          <cell r="J31">
            <v>0</v>
          </cell>
          <cell r="K31">
            <v>0</v>
          </cell>
        </row>
        <row r="32">
          <cell r="C32">
            <v>2</v>
          </cell>
          <cell r="D32">
            <v>23</v>
          </cell>
          <cell r="J32">
            <v>0</v>
          </cell>
          <cell r="K32">
            <v>0</v>
          </cell>
        </row>
        <row r="34">
          <cell r="C34">
            <v>52</v>
          </cell>
          <cell r="D34">
            <v>405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1</v>
          </cell>
          <cell r="D37">
            <v>1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3</v>
          </cell>
          <cell r="D39">
            <v>13</v>
          </cell>
          <cell r="J39">
            <v>0</v>
          </cell>
          <cell r="K39">
            <v>0</v>
          </cell>
        </row>
        <row r="40">
          <cell r="C40">
            <v>2</v>
          </cell>
          <cell r="D40">
            <v>2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53121</v>
          </cell>
        </row>
        <row r="11">
          <cell r="P11">
            <v>147686</v>
          </cell>
        </row>
        <row r="12">
          <cell r="P12">
            <v>64075</v>
          </cell>
        </row>
        <row r="13">
          <cell r="P13">
            <v>0</v>
          </cell>
        </row>
        <row r="14">
          <cell r="P14">
            <v>701</v>
          </cell>
        </row>
        <row r="15">
          <cell r="P15">
            <v>40</v>
          </cell>
        </row>
        <row r="16">
          <cell r="P16">
            <v>1726</v>
          </cell>
        </row>
        <row r="17">
          <cell r="P17">
            <v>30934</v>
          </cell>
        </row>
        <row r="20">
          <cell r="P20">
            <v>50090</v>
          </cell>
        </row>
        <row r="26">
          <cell r="P26">
            <v>282697</v>
          </cell>
        </row>
        <row r="33">
          <cell r="P33">
            <v>838</v>
          </cell>
        </row>
        <row r="34">
          <cell r="P34">
            <v>81</v>
          </cell>
        </row>
        <row r="35">
          <cell r="P35">
            <v>10389</v>
          </cell>
        </row>
        <row r="36">
          <cell r="P36">
            <v>4081</v>
          </cell>
        </row>
        <row r="37">
          <cell r="P37">
            <v>0</v>
          </cell>
        </row>
        <row r="38">
          <cell r="P38">
            <v>510</v>
          </cell>
        </row>
        <row r="39">
          <cell r="P39">
            <v>0</v>
          </cell>
        </row>
        <row r="40">
          <cell r="P40">
            <v>9623</v>
          </cell>
        </row>
      </sheetData>
      <sheetData sheetId="5">
        <row r="10">
          <cell r="C10">
            <v>75035</v>
          </cell>
          <cell r="G10">
            <v>34493</v>
          </cell>
          <cell r="K10">
            <v>0</v>
          </cell>
        </row>
        <row r="11">
          <cell r="C11">
            <v>156480</v>
          </cell>
          <cell r="G11">
            <v>9023</v>
          </cell>
          <cell r="K11">
            <v>0</v>
          </cell>
        </row>
        <row r="12">
          <cell r="C12">
            <v>87125</v>
          </cell>
          <cell r="G12">
            <v>13743</v>
          </cell>
          <cell r="K12">
            <v>261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5769</v>
          </cell>
          <cell r="G14">
            <v>0</v>
          </cell>
          <cell r="K14">
            <v>0</v>
          </cell>
        </row>
        <row r="15">
          <cell r="C15">
            <v>42</v>
          </cell>
          <cell r="G15">
            <v>0</v>
          </cell>
          <cell r="K15">
            <v>0</v>
          </cell>
        </row>
        <row r="16">
          <cell r="C16">
            <v>2635</v>
          </cell>
          <cell r="G16">
            <v>1484</v>
          </cell>
          <cell r="K16">
            <v>0</v>
          </cell>
        </row>
        <row r="17">
          <cell r="C17">
            <v>43742</v>
          </cell>
          <cell r="G17">
            <v>3295</v>
          </cell>
          <cell r="K17">
            <v>0</v>
          </cell>
        </row>
        <row r="20">
          <cell r="C20">
            <v>44751</v>
          </cell>
          <cell r="G20">
            <v>2321</v>
          </cell>
          <cell r="K20">
            <v>0</v>
          </cell>
        </row>
        <row r="26">
          <cell r="C26">
            <v>364550</v>
          </cell>
          <cell r="G26">
            <v>411936</v>
          </cell>
          <cell r="K26">
            <v>0</v>
          </cell>
        </row>
        <row r="33">
          <cell r="C33">
            <v>1386</v>
          </cell>
          <cell r="G33">
            <v>0</v>
          </cell>
          <cell r="K33">
            <v>0</v>
          </cell>
        </row>
        <row r="34">
          <cell r="C34">
            <v>121</v>
          </cell>
          <cell r="G34">
            <v>0</v>
          </cell>
          <cell r="K34">
            <v>0</v>
          </cell>
        </row>
        <row r="35">
          <cell r="C35">
            <v>14218</v>
          </cell>
          <cell r="G35">
            <v>1087</v>
          </cell>
          <cell r="K35">
            <v>0</v>
          </cell>
        </row>
        <row r="36">
          <cell r="C36">
            <v>12227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670</v>
          </cell>
          <cell r="G38">
            <v>28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11151</v>
          </cell>
          <cell r="G40">
            <v>2997</v>
          </cell>
          <cell r="K40">
            <v>0</v>
          </cell>
        </row>
        <row r="41">
          <cell r="C41">
            <v>819902</v>
          </cell>
          <cell r="D41">
            <v>12049</v>
          </cell>
          <cell r="E41">
            <v>335592</v>
          </cell>
          <cell r="G41">
            <v>480407</v>
          </cell>
          <cell r="I41">
            <v>20308</v>
          </cell>
          <cell r="K41">
            <v>261</v>
          </cell>
          <cell r="M41">
            <v>0</v>
          </cell>
        </row>
      </sheetData>
      <sheetData sheetId="6">
        <row r="9">
          <cell r="C9">
            <v>49411</v>
          </cell>
          <cell r="D9">
            <v>476893</v>
          </cell>
        </row>
        <row r="18">
          <cell r="C18">
            <v>40155</v>
          </cell>
          <cell r="D18">
            <v>302060</v>
          </cell>
          <cell r="E18">
            <v>85199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267</v>
          </cell>
          <cell r="D20">
            <v>861</v>
          </cell>
          <cell r="E20">
            <v>296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34922</v>
          </cell>
          <cell r="D22">
            <v>56859</v>
          </cell>
          <cell r="E22">
            <v>21485</v>
          </cell>
        </row>
        <row r="29">
          <cell r="C29">
            <v>4138</v>
          </cell>
          <cell r="D29">
            <v>59909</v>
          </cell>
          <cell r="E29">
            <v>37640</v>
          </cell>
        </row>
        <row r="38">
          <cell r="C38">
            <v>647</v>
          </cell>
          <cell r="D38">
            <v>10969</v>
          </cell>
          <cell r="E38">
            <v>2837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  <sheetName val="FIN_BS"/>
      <sheetName val="FIN_BU"/>
      <sheetName val="SUPFIN_PiRodV"/>
      <sheetName val="SUPFIN_RDZodV"/>
      <sheetName val="SUPFIN_neRDZodV"/>
      <sheetName val="SUPFIN_VK"/>
      <sheetName val="SUPFIN_SVl"/>
      <sheetName val="VS_VS1_NO"/>
      <sheetName val="VS_VS2"/>
      <sheetName val="SUP_MS_NO"/>
      <sheetName val="SUP_KS"/>
      <sheetName val="SUP_VTR"/>
      <sheetName val="RR_REO_01 - #1"/>
      <sheetName val="RR_REO_02"/>
      <sheetName val="RR_REO_03"/>
      <sheetName val="RR_REO_04"/>
      <sheetName val="DEC_SP - #1"/>
      <sheetName val="DEC_SP - #2"/>
      <sheetName val="DEC_SP - #3"/>
      <sheetName val="DEC_SP - #4"/>
      <sheetName val="DEC_SP - #5"/>
      <sheetName val="DEC_SP - #6"/>
    </sheetNames>
    <sheetDataSet>
      <sheetData sheetId="0" refreshError="1"/>
      <sheetData sheetId="1">
        <row r="10">
          <cell r="C10">
            <v>0</v>
          </cell>
          <cell r="D10">
            <v>0</v>
          </cell>
          <cell r="F10">
            <v>1</v>
          </cell>
          <cell r="G10">
            <v>55</v>
          </cell>
          <cell r="H10">
            <v>3</v>
          </cell>
          <cell r="I10">
            <v>123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0</v>
          </cell>
          <cell r="D24">
            <v>0</v>
          </cell>
          <cell r="F24">
            <v>4</v>
          </cell>
          <cell r="G24">
            <v>1722.41</v>
          </cell>
          <cell r="H24">
            <v>10</v>
          </cell>
          <cell r="I24">
            <v>680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0</v>
          </cell>
          <cell r="D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56">
          <cell r="C56">
            <v>0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88">
          <cell r="C88">
            <v>64</v>
          </cell>
          <cell r="D88">
            <v>129.83000000000001</v>
          </cell>
          <cell r="F88">
            <v>72</v>
          </cell>
          <cell r="G88">
            <v>5517.33</v>
          </cell>
          <cell r="H88">
            <v>128</v>
          </cell>
          <cell r="I88">
            <v>14853.23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0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0</v>
          </cell>
          <cell r="D170">
            <v>0</v>
          </cell>
          <cell r="F170">
            <v>2</v>
          </cell>
          <cell r="G170">
            <v>51.77</v>
          </cell>
          <cell r="H170">
            <v>0</v>
          </cell>
          <cell r="I170">
            <v>0</v>
          </cell>
        </row>
        <row r="175">
          <cell r="C175">
            <v>64</v>
          </cell>
        </row>
      </sheetData>
      <sheetData sheetId="2">
        <row r="11">
          <cell r="C11">
            <v>0</v>
          </cell>
          <cell r="D11">
            <v>0</v>
          </cell>
          <cell r="J11">
            <v>61</v>
          </cell>
          <cell r="K11">
            <v>4766.99</v>
          </cell>
        </row>
        <row r="12">
          <cell r="C12">
            <v>0</v>
          </cell>
          <cell r="D12">
            <v>0</v>
          </cell>
          <cell r="J12">
            <v>6</v>
          </cell>
          <cell r="K12">
            <v>285.91000000000003</v>
          </cell>
        </row>
        <row r="13">
          <cell r="C13">
            <v>0</v>
          </cell>
          <cell r="D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62</v>
          </cell>
          <cell r="D25">
            <v>112.61</v>
          </cell>
          <cell r="J25">
            <v>2</v>
          </cell>
          <cell r="K25">
            <v>248.65</v>
          </cell>
        </row>
        <row r="26">
          <cell r="C26">
            <v>2</v>
          </cell>
          <cell r="D26">
            <v>17.22</v>
          </cell>
          <cell r="J26">
            <v>3</v>
          </cell>
          <cell r="K26">
            <v>215.78</v>
          </cell>
        </row>
        <row r="27">
          <cell r="C27">
            <v>0</v>
          </cell>
          <cell r="D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0</v>
          </cell>
          <cell r="D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0</v>
          </cell>
        </row>
        <row r="11">
          <cell r="P11">
            <v>0</v>
          </cell>
        </row>
        <row r="12">
          <cell r="P12">
            <v>0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20">
          <cell r="P20">
            <v>0</v>
          </cell>
        </row>
        <row r="26">
          <cell r="P26">
            <v>99.87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</sheetData>
      <sheetData sheetId="5">
        <row r="10">
          <cell r="C10">
            <v>23.87</v>
          </cell>
          <cell r="G10">
            <v>863.69</v>
          </cell>
          <cell r="K10">
            <v>54.21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60.18</v>
          </cell>
          <cell r="G12">
            <v>4169.22</v>
          </cell>
          <cell r="K12">
            <v>548.46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16">
          <cell r="C16">
            <v>0</v>
          </cell>
          <cell r="G16">
            <v>0</v>
          </cell>
          <cell r="K16">
            <v>0</v>
          </cell>
        </row>
        <row r="17">
          <cell r="C17">
            <v>5.86</v>
          </cell>
          <cell r="G17">
            <v>177.8</v>
          </cell>
          <cell r="K17">
            <v>6.97</v>
          </cell>
        </row>
        <row r="20">
          <cell r="C20">
            <v>0.97</v>
          </cell>
          <cell r="G20">
            <v>112.57</v>
          </cell>
          <cell r="K20">
            <v>6.53</v>
          </cell>
        </row>
        <row r="26">
          <cell r="C26">
            <v>955.75</v>
          </cell>
          <cell r="G26">
            <v>26777.919999999998</v>
          </cell>
          <cell r="K26">
            <v>2981.33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0</v>
          </cell>
          <cell r="G34">
            <v>0</v>
          </cell>
          <cell r="K34">
            <v>0</v>
          </cell>
        </row>
        <row r="35">
          <cell r="C35">
            <v>0.24</v>
          </cell>
          <cell r="G35">
            <v>21.8</v>
          </cell>
          <cell r="K35">
            <v>0.14000000000000001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0</v>
          </cell>
          <cell r="G40">
            <v>16.55</v>
          </cell>
          <cell r="K40">
            <v>19.510000000000002</v>
          </cell>
        </row>
        <row r="41">
          <cell r="C41">
            <v>1046.8699999999999</v>
          </cell>
          <cell r="D41">
            <v>0</v>
          </cell>
          <cell r="E41">
            <v>15656.23</v>
          </cell>
          <cell r="G41">
            <v>32139.55</v>
          </cell>
          <cell r="I41">
            <v>238.98</v>
          </cell>
          <cell r="K41">
            <v>3617.15</v>
          </cell>
          <cell r="M41">
            <v>0</v>
          </cell>
        </row>
      </sheetData>
      <sheetData sheetId="6">
        <row r="9">
          <cell r="C9">
            <v>17</v>
          </cell>
          <cell r="D9">
            <v>41.21</v>
          </cell>
        </row>
        <row r="18">
          <cell r="C18">
            <v>47</v>
          </cell>
          <cell r="D18">
            <v>88.62</v>
          </cell>
          <cell r="E18">
            <v>66.040000000000006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0</v>
          </cell>
          <cell r="D29">
            <v>0</v>
          </cell>
          <cell r="E29">
            <v>31.25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#1"/>
      <sheetName val="STA_SP4_VU_MR - #2"/>
      <sheetName val="STA_SP4_RS_ZO"/>
      <sheetName val="STA_SP6_ZO"/>
      <sheetName val="STA_SP7_ZO"/>
      <sheetName val="STA_SP8_ZO"/>
      <sheetName val="STA_SP99"/>
    </sheetNames>
    <sheetDataSet>
      <sheetData sheetId="0"/>
      <sheetData sheetId="1">
        <row r="51">
          <cell r="I51">
            <v>2820</v>
          </cell>
          <cell r="J51">
            <v>505455</v>
          </cell>
          <cell r="Q51">
            <v>310255</v>
          </cell>
        </row>
      </sheetData>
      <sheetData sheetId="2">
        <row r="51">
          <cell r="G51">
            <v>106</v>
          </cell>
          <cell r="H51">
            <v>219</v>
          </cell>
          <cell r="L51">
            <v>1441</v>
          </cell>
          <cell r="N51">
            <v>134</v>
          </cell>
          <cell r="O51">
            <v>312707</v>
          </cell>
        </row>
      </sheetData>
      <sheetData sheetId="3"/>
      <sheetData sheetId="4"/>
      <sheetData sheetId="5">
        <row r="51">
          <cell r="C51">
            <v>20082</v>
          </cell>
          <cell r="D51">
            <v>3731377</v>
          </cell>
          <cell r="E51">
            <v>548517</v>
          </cell>
          <cell r="F51">
            <v>0</v>
          </cell>
          <cell r="G51">
            <v>20335</v>
          </cell>
          <cell r="H51">
            <v>7324</v>
          </cell>
          <cell r="J51">
            <v>1102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Header"/>
      <sheetName val="STA_SP1_ZO"/>
      <sheetName val="STA_SP2_ZO"/>
      <sheetName val="STA_SP2_RS_ZO"/>
      <sheetName val="STA_SP3_ZO"/>
      <sheetName val="STA_SP4_ZO"/>
      <sheetName val="STA_SP4_VU_MR - 807"/>
      <sheetName val="STA_SP4_RS_ZO"/>
      <sheetName val="STA_SP6_ZO"/>
      <sheetName val="STA_SP7_ZO"/>
      <sheetName val="STA_SP8_ZO"/>
      <sheetName val="STA_SP99"/>
      <sheetName val="FIN_BS"/>
      <sheetName val="FIN_BU"/>
      <sheetName val="SUPFIN_PiRodV"/>
      <sheetName val="SUPFIN_RDZodV"/>
      <sheetName val="SUPFIN_neRDZodV"/>
      <sheetName val="SUPFIN_VK"/>
      <sheetName val="SUPFIN_SVl"/>
      <sheetName val="SUPFIN_SVlPR"/>
      <sheetName val="VS_VS1_ZO"/>
      <sheetName val="VS_VS2"/>
      <sheetName val="SUP_MS_ZO"/>
      <sheetName val="SUP_KS"/>
      <sheetName val="SUP_VTR"/>
      <sheetName val="SUP_VMR - 1"/>
      <sheetName val="RR_REO_01 - 01,02,19,21"/>
      <sheetName val="DEC_SP - FI"/>
      <sheetName val="DEC_SP - RI"/>
      <sheetName val="DEC_SP - SI"/>
      <sheetName val="DEC_SP - SP"/>
      <sheetName val="DEC_SP - VBS"/>
      <sheetName val="DEC_SP - DFI"/>
    </sheetNames>
    <sheetDataSet>
      <sheetData sheetId="0"/>
      <sheetData sheetId="1"/>
      <sheetData sheetId="2">
        <row r="51">
          <cell r="I51">
            <v>995</v>
          </cell>
          <cell r="J51">
            <v>271802</v>
          </cell>
          <cell r="Q51">
            <v>216980</v>
          </cell>
        </row>
      </sheetData>
      <sheetData sheetId="3">
        <row r="51">
          <cell r="G51">
            <v>152</v>
          </cell>
          <cell r="H51">
            <v>75</v>
          </cell>
          <cell r="L51">
            <v>718</v>
          </cell>
          <cell r="N51">
            <v>192</v>
          </cell>
          <cell r="O51">
            <v>156031</v>
          </cell>
        </row>
      </sheetData>
      <sheetData sheetId="4"/>
      <sheetData sheetId="5"/>
      <sheetData sheetId="6">
        <row r="51">
          <cell r="C51">
            <v>12881</v>
          </cell>
          <cell r="D51">
            <v>3458257</v>
          </cell>
          <cell r="E51">
            <v>234283</v>
          </cell>
          <cell r="F51">
            <v>114578</v>
          </cell>
          <cell r="G51">
            <v>40276</v>
          </cell>
          <cell r="H51">
            <v>9145</v>
          </cell>
          <cell r="J51">
            <v>501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ZO"/>
      <sheetName val="STA_SP2_ZO"/>
      <sheetName val="STA_SP2_RS_ZO"/>
      <sheetName val="STA_SP3_ZO"/>
      <sheetName val="STA_SP4_ZO"/>
      <sheetName val="STA_SP4_VU_MR - 807"/>
      <sheetName val="STA_SP4_VU_MR - 978"/>
      <sheetName val="STA_SP4_RS_ZO"/>
      <sheetName val="STA_SP6_ZO"/>
      <sheetName val="STA_SP7_ZO"/>
      <sheetName val="STA_SP8_ZO"/>
      <sheetName val="STA_SP99"/>
      <sheetName val="TableOfContents"/>
      <sheetName val="Header"/>
      <sheetName val="FIN_BS"/>
      <sheetName val="DEC_SP - FI"/>
      <sheetName val="DEC_SP - RI"/>
      <sheetName val="DEC_SP - SI"/>
      <sheetName val="DEC_SP - SP"/>
      <sheetName val="DEC_SP - VBS"/>
      <sheetName val="DEC_SP - DFI"/>
    </sheetNames>
    <sheetDataSet>
      <sheetData sheetId="0">
        <row r="51">
          <cell r="I51">
            <v>1192</v>
          </cell>
          <cell r="J51">
            <v>350034</v>
          </cell>
          <cell r="Q51">
            <v>280595.38</v>
          </cell>
        </row>
      </sheetData>
      <sheetData sheetId="1">
        <row r="51">
          <cell r="G51">
            <v>35</v>
          </cell>
          <cell r="H51">
            <v>3</v>
          </cell>
          <cell r="L51">
            <v>464</v>
          </cell>
          <cell r="O51">
            <v>103560.79</v>
          </cell>
        </row>
      </sheetData>
      <sheetData sheetId="2"/>
      <sheetData sheetId="3"/>
      <sheetData sheetId="4">
        <row r="51">
          <cell r="C51">
            <v>6245.32</v>
          </cell>
          <cell r="D51">
            <v>802598</v>
          </cell>
          <cell r="E51">
            <v>1584115.17</v>
          </cell>
          <cell r="F51">
            <v>0</v>
          </cell>
          <cell r="G51">
            <v>10606.41</v>
          </cell>
          <cell r="H51">
            <v>12533.94</v>
          </cell>
          <cell r="J51">
            <v>4290.7299999999996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ZO"/>
      <sheetName val="STA_SP2_ZO"/>
      <sheetName val="STA_SP2_RS_ZO"/>
      <sheetName val="STA_SP3_ZO"/>
      <sheetName val="STA_SP4_ZO"/>
      <sheetName val="STA_SP4_VU_MR - 978"/>
      <sheetName val="STA_SP4_VU_MR - 807"/>
      <sheetName val="STA_SP4_RS_ZO"/>
      <sheetName val="STA_SP6_ZO"/>
      <sheetName val="STA_SP7_ZO"/>
      <sheetName val="STA_SP8_ZO"/>
      <sheetName val="STA_SP99"/>
      <sheetName val="Header"/>
    </sheetNames>
    <sheetDataSet>
      <sheetData sheetId="0">
        <row r="51">
          <cell r="I51">
            <v>11284</v>
          </cell>
          <cell r="J51">
            <v>209357</v>
          </cell>
          <cell r="Q51">
            <v>121359.1</v>
          </cell>
        </row>
      </sheetData>
      <sheetData sheetId="1">
        <row r="51">
          <cell r="G51">
            <v>46</v>
          </cell>
          <cell r="H51">
            <v>42</v>
          </cell>
          <cell r="L51">
            <v>284</v>
          </cell>
          <cell r="N51">
            <v>0</v>
          </cell>
          <cell r="O51">
            <v>49488</v>
          </cell>
        </row>
      </sheetData>
      <sheetData sheetId="2"/>
      <sheetData sheetId="3"/>
      <sheetData sheetId="4">
        <row r="51">
          <cell r="C51">
            <v>10239</v>
          </cell>
          <cell r="D51">
            <v>584365</v>
          </cell>
          <cell r="E51">
            <v>497243</v>
          </cell>
          <cell r="F51">
            <v>0</v>
          </cell>
          <cell r="G51">
            <v>9285</v>
          </cell>
          <cell r="H51">
            <v>1986</v>
          </cell>
          <cell r="J51">
            <v>1129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978"/>
      <sheetName val="STA_SP4_RS_ZO"/>
      <sheetName val="STA_SP6_ZO"/>
      <sheetName val="STA_SP7_ZO"/>
      <sheetName val="STA_SP8_ZO"/>
      <sheetName val="STA_SP99"/>
      <sheetName val="TableOfContents"/>
    </sheetNames>
    <sheetDataSet>
      <sheetData sheetId="0"/>
      <sheetData sheetId="1">
        <row r="51">
          <cell r="I51">
            <v>3464</v>
          </cell>
          <cell r="J51">
            <v>422424.84</v>
          </cell>
          <cell r="Q51">
            <v>337133.15</v>
          </cell>
        </row>
      </sheetData>
      <sheetData sheetId="2">
        <row r="51">
          <cell r="G51">
            <v>13</v>
          </cell>
          <cell r="H51">
            <v>0</v>
          </cell>
          <cell r="L51">
            <v>392</v>
          </cell>
          <cell r="N51">
            <v>0</v>
          </cell>
          <cell r="O51">
            <v>183587.96</v>
          </cell>
        </row>
      </sheetData>
      <sheetData sheetId="3"/>
      <sheetData sheetId="4"/>
      <sheetData sheetId="5">
        <row r="51">
          <cell r="C51">
            <v>1106.24</v>
          </cell>
          <cell r="D51">
            <v>819407.09</v>
          </cell>
          <cell r="E51">
            <v>503597.35</v>
          </cell>
          <cell r="F51">
            <v>0</v>
          </cell>
          <cell r="G51">
            <v>4202.95</v>
          </cell>
          <cell r="H51">
            <v>1867.5</v>
          </cell>
          <cell r="J51">
            <v>303.52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#1"/>
      <sheetName val="STA_SP4_RS_ZO"/>
      <sheetName val="STA_SP6_ZO"/>
      <sheetName val="STA_SP7_ZO"/>
      <sheetName val="STA_SP8_ZO"/>
    </sheetNames>
    <sheetDataSet>
      <sheetData sheetId="0"/>
      <sheetData sheetId="1">
        <row r="51">
          <cell r="I51">
            <v>545</v>
          </cell>
          <cell r="J51">
            <v>27663.88</v>
          </cell>
          <cell r="Q51">
            <v>13778.61</v>
          </cell>
        </row>
      </sheetData>
      <sheetData sheetId="2">
        <row r="51">
          <cell r="G51">
            <v>1</v>
          </cell>
          <cell r="H51">
            <v>0</v>
          </cell>
          <cell r="L51">
            <v>10</v>
          </cell>
          <cell r="N51">
            <v>0</v>
          </cell>
          <cell r="O51">
            <v>2087.9699999999998</v>
          </cell>
        </row>
      </sheetData>
      <sheetData sheetId="3"/>
      <sheetData sheetId="4"/>
      <sheetData sheetId="5">
        <row r="51">
          <cell r="C51">
            <v>1420.96</v>
          </cell>
          <cell r="D51">
            <v>13681.52</v>
          </cell>
          <cell r="E51">
            <v>18959.91</v>
          </cell>
          <cell r="F51">
            <v>0</v>
          </cell>
          <cell r="G51">
            <v>99.6</v>
          </cell>
          <cell r="H51">
            <v>410.35</v>
          </cell>
          <cell r="J51">
            <v>10.31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kedonija"/>
      <sheetName val="Triglav"/>
      <sheetName val="Euroins"/>
      <sheetName val="Sava"/>
      <sheetName val="Winner"/>
      <sheetName val="Eurolink"/>
      <sheetName val="Grawe"/>
      <sheetName val="Uniqa"/>
      <sheetName val="Polisa"/>
      <sheetName val="Halk"/>
      <sheetName val="Croatia"/>
      <sheetName val="Zoil"/>
      <sheetName val="Vkup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2">
          <cell r="C12">
            <v>182</v>
          </cell>
          <cell r="D12">
            <v>18804.84</v>
          </cell>
          <cell r="F12">
            <v>580</v>
          </cell>
          <cell r="G12">
            <v>158066.82</v>
          </cell>
        </row>
        <row r="21">
          <cell r="C21">
            <v>30</v>
          </cell>
          <cell r="D21">
            <v>4443.01</v>
          </cell>
          <cell r="F21">
            <v>176</v>
          </cell>
          <cell r="G21">
            <v>44823.15</v>
          </cell>
        </row>
        <row r="22">
          <cell r="C22">
            <v>273</v>
          </cell>
          <cell r="D22">
            <v>42165.500000000007</v>
          </cell>
          <cell r="F22">
            <v>685</v>
          </cell>
          <cell r="G22">
            <v>167162.63000000003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  <sheetName val="DEC_SP - #4"/>
    </sheetNames>
    <sheetDataSet>
      <sheetData sheetId="0" refreshError="1"/>
      <sheetData sheetId="1">
        <row r="10">
          <cell r="C10">
            <v>69812</v>
          </cell>
          <cell r="D10">
            <v>102787.42</v>
          </cell>
          <cell r="F10">
            <v>395</v>
          </cell>
          <cell r="G10">
            <v>21380.83</v>
          </cell>
          <cell r="H10">
            <v>218</v>
          </cell>
          <cell r="I10">
            <v>15641</v>
          </cell>
        </row>
        <row r="20">
          <cell r="C20">
            <v>14035</v>
          </cell>
          <cell r="D20">
            <v>182629.21</v>
          </cell>
          <cell r="F20">
            <v>7324</v>
          </cell>
          <cell r="G20">
            <v>82960.53</v>
          </cell>
          <cell r="H20">
            <v>516</v>
          </cell>
          <cell r="I20">
            <v>13239.74</v>
          </cell>
        </row>
        <row r="24">
          <cell r="C24">
            <v>3734</v>
          </cell>
          <cell r="D24">
            <v>100734.91</v>
          </cell>
          <cell r="F24">
            <v>478</v>
          </cell>
          <cell r="G24">
            <v>36339.64</v>
          </cell>
          <cell r="H24">
            <v>372</v>
          </cell>
          <cell r="I24">
            <v>40263.03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134.13</v>
          </cell>
          <cell r="H30">
            <v>1</v>
          </cell>
          <cell r="I30">
            <v>480588.19</v>
          </cell>
        </row>
        <row r="33">
          <cell r="C33">
            <v>2</v>
          </cell>
          <cell r="D33">
            <v>41.04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376</v>
          </cell>
          <cell r="D36">
            <v>23256.61</v>
          </cell>
          <cell r="F36">
            <v>3</v>
          </cell>
          <cell r="G36">
            <v>53842.37</v>
          </cell>
          <cell r="H36">
            <v>20</v>
          </cell>
          <cell r="I36">
            <v>1465.5</v>
          </cell>
        </row>
        <row r="40">
          <cell r="C40">
            <v>10787</v>
          </cell>
          <cell r="D40">
            <v>67999.34</v>
          </cell>
          <cell r="F40">
            <v>28</v>
          </cell>
          <cell r="G40">
            <v>3500.54</v>
          </cell>
          <cell r="H40">
            <v>30</v>
          </cell>
          <cell r="I40">
            <v>19751.189999999999</v>
          </cell>
        </row>
        <row r="56">
          <cell r="C56">
            <v>12179</v>
          </cell>
          <cell r="D56">
            <v>130966.83</v>
          </cell>
          <cell r="F56">
            <v>458</v>
          </cell>
          <cell r="G56">
            <v>17762.13</v>
          </cell>
          <cell r="H56">
            <v>136</v>
          </cell>
          <cell r="I56">
            <v>13195.57</v>
          </cell>
        </row>
        <row r="88">
          <cell r="C88">
            <v>42979</v>
          </cell>
          <cell r="D88">
            <v>237677.09</v>
          </cell>
          <cell r="F88">
            <v>1185</v>
          </cell>
          <cell r="G88">
            <v>93967.15</v>
          </cell>
          <cell r="H88">
            <v>1123</v>
          </cell>
          <cell r="I88">
            <v>295357.44</v>
          </cell>
        </row>
        <row r="124">
          <cell r="C124">
            <v>110</v>
          </cell>
          <cell r="D124">
            <v>338.76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26</v>
          </cell>
          <cell r="D128">
            <v>165.75</v>
          </cell>
          <cell r="F128">
            <v>0</v>
          </cell>
          <cell r="G128">
            <v>0</v>
          </cell>
          <cell r="H128">
            <v>6</v>
          </cell>
          <cell r="I128">
            <v>6255</v>
          </cell>
        </row>
        <row r="132">
          <cell r="C132">
            <v>6073</v>
          </cell>
          <cell r="D132">
            <v>33594.39</v>
          </cell>
          <cell r="F132">
            <v>7</v>
          </cell>
          <cell r="G132">
            <v>377.54</v>
          </cell>
          <cell r="H132">
            <v>12</v>
          </cell>
          <cell r="I132">
            <v>6477.8</v>
          </cell>
        </row>
        <row r="153">
          <cell r="C153">
            <v>1645</v>
          </cell>
          <cell r="D153">
            <v>3139.09</v>
          </cell>
          <cell r="F153">
            <v>14</v>
          </cell>
          <cell r="G153">
            <v>501.49</v>
          </cell>
          <cell r="H153">
            <v>8</v>
          </cell>
          <cell r="I153">
            <v>2819.38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32</v>
          </cell>
          <cell r="D161">
            <v>24433.68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44001</v>
          </cell>
          <cell r="D170">
            <v>28881.56</v>
          </cell>
          <cell r="F170">
            <v>404</v>
          </cell>
          <cell r="G170">
            <v>8960.5499999999993</v>
          </cell>
          <cell r="H170">
            <v>239</v>
          </cell>
          <cell r="I170">
            <v>12821.77</v>
          </cell>
        </row>
        <row r="175">
          <cell r="C175">
            <v>119075</v>
          </cell>
        </row>
      </sheetData>
      <sheetData sheetId="2">
        <row r="11">
          <cell r="C11">
            <v>22820</v>
          </cell>
          <cell r="D11">
            <v>127148</v>
          </cell>
          <cell r="J11">
            <v>924</v>
          </cell>
          <cell r="K11">
            <v>62888.65</v>
          </cell>
        </row>
        <row r="12">
          <cell r="C12">
            <v>2584</v>
          </cell>
          <cell r="D12">
            <v>29118.28</v>
          </cell>
          <cell r="J12">
            <v>144</v>
          </cell>
          <cell r="K12">
            <v>7419.45</v>
          </cell>
        </row>
        <row r="13">
          <cell r="C13">
            <v>170</v>
          </cell>
          <cell r="D13">
            <v>3271.35</v>
          </cell>
          <cell r="J13">
            <v>4</v>
          </cell>
          <cell r="K13">
            <v>223.51</v>
          </cell>
        </row>
        <row r="14">
          <cell r="C14">
            <v>1256</v>
          </cell>
          <cell r="D14">
            <v>981.07</v>
          </cell>
          <cell r="J14">
            <v>3</v>
          </cell>
          <cell r="K14">
            <v>210.26</v>
          </cell>
        </row>
        <row r="15">
          <cell r="C15">
            <v>23</v>
          </cell>
          <cell r="D15">
            <v>70.11</v>
          </cell>
          <cell r="J15">
            <v>3</v>
          </cell>
          <cell r="K15">
            <v>108.03</v>
          </cell>
        </row>
        <row r="16">
          <cell r="C16">
            <v>3033</v>
          </cell>
          <cell r="D16">
            <v>5174.1000000000004</v>
          </cell>
          <cell r="J16">
            <v>14</v>
          </cell>
          <cell r="K16">
            <v>1035.49</v>
          </cell>
        </row>
        <row r="17">
          <cell r="C17">
            <v>1080</v>
          </cell>
          <cell r="D17">
            <v>331.86</v>
          </cell>
          <cell r="J17">
            <v>1</v>
          </cell>
          <cell r="K17">
            <v>23.71</v>
          </cell>
        </row>
        <row r="18">
          <cell r="C18">
            <v>70</v>
          </cell>
          <cell r="D18">
            <v>263.27</v>
          </cell>
          <cell r="J18">
            <v>2</v>
          </cell>
          <cell r="K18">
            <v>77.45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9895</v>
          </cell>
          <cell r="D25">
            <v>46934.16</v>
          </cell>
          <cell r="J25">
            <v>18</v>
          </cell>
          <cell r="K25">
            <v>2676.68</v>
          </cell>
        </row>
        <row r="26">
          <cell r="C26">
            <v>623</v>
          </cell>
          <cell r="D26">
            <v>9798.2900000000009</v>
          </cell>
          <cell r="J26">
            <v>59</v>
          </cell>
          <cell r="K26">
            <v>15277.99</v>
          </cell>
        </row>
        <row r="27">
          <cell r="C27">
            <v>60</v>
          </cell>
          <cell r="D27">
            <v>948.71</v>
          </cell>
          <cell r="J27">
            <v>1</v>
          </cell>
          <cell r="K27">
            <v>254.82</v>
          </cell>
        </row>
        <row r="28">
          <cell r="C28">
            <v>1</v>
          </cell>
          <cell r="D28">
            <v>5.53</v>
          </cell>
          <cell r="J28">
            <v>0</v>
          </cell>
          <cell r="K28">
            <v>0</v>
          </cell>
        </row>
        <row r="29">
          <cell r="C29">
            <v>9</v>
          </cell>
          <cell r="D29">
            <v>44.58</v>
          </cell>
          <cell r="J29">
            <v>0</v>
          </cell>
          <cell r="K29">
            <v>0</v>
          </cell>
        </row>
        <row r="30">
          <cell r="C30">
            <v>303</v>
          </cell>
          <cell r="D30">
            <v>537.29999999999995</v>
          </cell>
          <cell r="J30">
            <v>2</v>
          </cell>
          <cell r="K30">
            <v>1070.3800000000001</v>
          </cell>
        </row>
        <row r="31">
          <cell r="C31">
            <v>626</v>
          </cell>
          <cell r="D31">
            <v>3292.74</v>
          </cell>
          <cell r="J31">
            <v>6</v>
          </cell>
          <cell r="K31">
            <v>869.57</v>
          </cell>
        </row>
        <row r="32">
          <cell r="C32">
            <v>1</v>
          </cell>
          <cell r="D32">
            <v>5.53</v>
          </cell>
          <cell r="J32">
            <v>0</v>
          </cell>
          <cell r="K32">
            <v>0</v>
          </cell>
        </row>
        <row r="34">
          <cell r="C34">
            <v>50</v>
          </cell>
          <cell r="D34">
            <v>440.34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4</v>
          </cell>
          <cell r="D39">
            <v>28.9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73534.14</v>
          </cell>
        </row>
        <row r="11">
          <cell r="P11">
            <v>130652.94</v>
          </cell>
        </row>
        <row r="12">
          <cell r="P12">
            <v>69386.210000000006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34.24</v>
          </cell>
        </row>
        <row r="16">
          <cell r="P16">
            <v>19398.349999999999</v>
          </cell>
        </row>
        <row r="17">
          <cell r="P17">
            <v>38528.44</v>
          </cell>
        </row>
        <row r="20">
          <cell r="P20">
            <v>88402.61</v>
          </cell>
        </row>
        <row r="26">
          <cell r="P26">
            <v>182790.26</v>
          </cell>
        </row>
        <row r="33">
          <cell r="P33">
            <v>282.56</v>
          </cell>
        </row>
        <row r="34">
          <cell r="P34">
            <v>138.25</v>
          </cell>
        </row>
        <row r="35">
          <cell r="P35">
            <v>26495.94</v>
          </cell>
        </row>
        <row r="36">
          <cell r="P36">
            <v>1883.45</v>
          </cell>
        </row>
        <row r="37">
          <cell r="P37">
            <v>0</v>
          </cell>
        </row>
        <row r="38">
          <cell r="P38">
            <v>19270.849999999999</v>
          </cell>
        </row>
        <row r="39">
          <cell r="P39">
            <v>0</v>
          </cell>
        </row>
        <row r="40">
          <cell r="P40">
            <v>17328.95</v>
          </cell>
        </row>
      </sheetData>
      <sheetData sheetId="5">
        <row r="10">
          <cell r="C10">
            <v>31313.07</v>
          </cell>
          <cell r="G10">
            <v>19496.009999999998</v>
          </cell>
          <cell r="K10">
            <v>1168.8499999999999</v>
          </cell>
        </row>
        <row r="11">
          <cell r="C11">
            <v>128893.29</v>
          </cell>
          <cell r="G11">
            <v>15766.9</v>
          </cell>
          <cell r="K11">
            <v>13576.12</v>
          </cell>
        </row>
        <row r="12">
          <cell r="C12">
            <v>101375.33</v>
          </cell>
          <cell r="G12">
            <v>9785.18</v>
          </cell>
          <cell r="K12">
            <v>0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42.45</v>
          </cell>
          <cell r="G15">
            <v>0</v>
          </cell>
          <cell r="K15">
            <v>0</v>
          </cell>
        </row>
        <row r="16">
          <cell r="C16">
            <v>15641.77</v>
          </cell>
          <cell r="G16">
            <v>0</v>
          </cell>
          <cell r="K16">
            <v>0</v>
          </cell>
        </row>
        <row r="17">
          <cell r="C17">
            <v>52785.62</v>
          </cell>
          <cell r="G17">
            <v>4095.9</v>
          </cell>
          <cell r="K17">
            <v>0</v>
          </cell>
        </row>
        <row r="20">
          <cell r="C20">
            <v>104487.99</v>
          </cell>
          <cell r="G20">
            <v>2395.23</v>
          </cell>
          <cell r="K20">
            <v>0</v>
          </cell>
        </row>
        <row r="26">
          <cell r="C26">
            <v>239108.58</v>
          </cell>
          <cell r="G26">
            <v>226089.38</v>
          </cell>
          <cell r="K26">
            <v>0</v>
          </cell>
        </row>
        <row r="33">
          <cell r="C33">
            <v>290.55</v>
          </cell>
          <cell r="G33">
            <v>0</v>
          </cell>
          <cell r="K33">
            <v>0</v>
          </cell>
        </row>
        <row r="34">
          <cell r="C34">
            <v>170.55</v>
          </cell>
          <cell r="G34">
            <v>0</v>
          </cell>
          <cell r="K34">
            <v>0</v>
          </cell>
        </row>
        <row r="35">
          <cell r="C35">
            <v>27397.63</v>
          </cell>
          <cell r="G35">
            <v>837.5</v>
          </cell>
          <cell r="K35">
            <v>0</v>
          </cell>
        </row>
        <row r="36">
          <cell r="C36">
            <v>38052.57</v>
          </cell>
          <cell r="G36">
            <v>0</v>
          </cell>
          <cell r="K36">
            <v>613.23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13322.46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8603.2199999999993</v>
          </cell>
          <cell r="G40">
            <v>873.86</v>
          </cell>
          <cell r="K40">
            <v>2369.37</v>
          </cell>
        </row>
        <row r="41">
          <cell r="C41">
            <v>761485.08</v>
          </cell>
          <cell r="D41">
            <v>73187.679999999993</v>
          </cell>
          <cell r="E41">
            <v>907875.61</v>
          </cell>
          <cell r="G41">
            <v>279339.96000000002</v>
          </cell>
          <cell r="I41">
            <v>86067.24</v>
          </cell>
          <cell r="K41">
            <v>17727.57</v>
          </cell>
          <cell r="M41">
            <v>0</v>
          </cell>
        </row>
      </sheetData>
      <sheetData sheetId="6">
        <row r="9">
          <cell r="C9">
            <v>74099</v>
          </cell>
          <cell r="D9">
            <v>676485.64</v>
          </cell>
        </row>
        <row r="18">
          <cell r="C18">
            <v>33206</v>
          </cell>
          <cell r="D18">
            <v>225254.49</v>
          </cell>
          <cell r="E18">
            <v>51897.14</v>
          </cell>
        </row>
        <row r="19">
          <cell r="C19">
            <v>12</v>
          </cell>
          <cell r="D19">
            <v>132.41</v>
          </cell>
          <cell r="E19">
            <v>24.31</v>
          </cell>
        </row>
        <row r="20">
          <cell r="C20">
            <v>954</v>
          </cell>
          <cell r="D20">
            <v>1420.86</v>
          </cell>
          <cell r="E20">
            <v>501.88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5960</v>
          </cell>
          <cell r="D22">
            <v>6959.94</v>
          </cell>
          <cell r="E22">
            <v>1651.94</v>
          </cell>
        </row>
        <row r="29">
          <cell r="C29">
            <v>4844</v>
          </cell>
          <cell r="D29">
            <v>26392.59</v>
          </cell>
          <cell r="E29">
            <v>4395.17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>
        <row r="10">
          <cell r="C10">
            <v>14682</v>
          </cell>
          <cell r="D10">
            <v>14546</v>
          </cell>
          <cell r="F10">
            <v>146</v>
          </cell>
          <cell r="G10">
            <v>6255</v>
          </cell>
          <cell r="H10">
            <v>61</v>
          </cell>
          <cell r="I10">
            <v>2587</v>
          </cell>
        </row>
        <row r="20">
          <cell r="C20">
            <v>39</v>
          </cell>
          <cell r="D20">
            <v>21495</v>
          </cell>
          <cell r="F20">
            <v>594</v>
          </cell>
          <cell r="G20">
            <v>4995</v>
          </cell>
          <cell r="H20">
            <v>63</v>
          </cell>
          <cell r="I20">
            <v>1945</v>
          </cell>
        </row>
        <row r="24">
          <cell r="C24">
            <v>5889</v>
          </cell>
          <cell r="D24">
            <v>45179</v>
          </cell>
          <cell r="F24">
            <v>348</v>
          </cell>
          <cell r="G24">
            <v>21197</v>
          </cell>
          <cell r="H24">
            <v>189</v>
          </cell>
          <cell r="I24">
            <v>13664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2</v>
          </cell>
          <cell r="D33">
            <v>119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188</v>
          </cell>
          <cell r="D36">
            <v>10853</v>
          </cell>
          <cell r="F36">
            <v>3</v>
          </cell>
          <cell r="G36">
            <v>111</v>
          </cell>
          <cell r="H36">
            <v>1</v>
          </cell>
          <cell r="I36">
            <v>47</v>
          </cell>
        </row>
        <row r="40">
          <cell r="C40">
            <v>2813</v>
          </cell>
          <cell r="D40">
            <v>29897</v>
          </cell>
          <cell r="F40">
            <v>6</v>
          </cell>
          <cell r="G40">
            <v>450</v>
          </cell>
          <cell r="H40">
            <v>2</v>
          </cell>
          <cell r="I40">
            <v>303</v>
          </cell>
        </row>
        <row r="56">
          <cell r="C56">
            <v>968</v>
          </cell>
          <cell r="D56">
            <v>16704</v>
          </cell>
          <cell r="F56">
            <v>151</v>
          </cell>
          <cell r="G56">
            <v>5413</v>
          </cell>
          <cell r="H56">
            <v>54</v>
          </cell>
          <cell r="I56">
            <v>10944</v>
          </cell>
        </row>
        <row r="88">
          <cell r="C88">
            <v>34852</v>
          </cell>
          <cell r="D88">
            <v>179768</v>
          </cell>
          <cell r="F88">
            <v>863</v>
          </cell>
          <cell r="G88">
            <v>76991</v>
          </cell>
          <cell r="H88">
            <v>662</v>
          </cell>
          <cell r="I88">
            <v>143492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8</v>
          </cell>
          <cell r="D128">
            <v>32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769</v>
          </cell>
          <cell r="D132">
            <v>5526</v>
          </cell>
          <cell r="F132">
            <v>12</v>
          </cell>
          <cell r="G132">
            <v>401</v>
          </cell>
          <cell r="H132">
            <v>36</v>
          </cell>
          <cell r="I132">
            <v>2624</v>
          </cell>
        </row>
        <row r="153">
          <cell r="C153">
            <v>12</v>
          </cell>
          <cell r="D153">
            <v>26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9</v>
          </cell>
          <cell r="D158">
            <v>812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</v>
          </cell>
          <cell r="D161">
            <v>3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8358</v>
          </cell>
          <cell r="D170">
            <v>5887</v>
          </cell>
          <cell r="F170">
            <v>42</v>
          </cell>
          <cell r="G170">
            <v>2092</v>
          </cell>
          <cell r="H170">
            <v>100</v>
          </cell>
          <cell r="I170">
            <v>1549</v>
          </cell>
        </row>
        <row r="175">
          <cell r="C175">
            <v>53260</v>
          </cell>
        </row>
      </sheetData>
      <sheetData sheetId="1">
        <row r="11">
          <cell r="C11">
            <v>15054</v>
          </cell>
          <cell r="D11">
            <v>87815</v>
          </cell>
          <cell r="J11">
            <v>708</v>
          </cell>
          <cell r="K11">
            <v>44509</v>
          </cell>
        </row>
        <row r="12">
          <cell r="C12">
            <v>1600</v>
          </cell>
          <cell r="D12">
            <v>17851</v>
          </cell>
          <cell r="J12">
            <v>75</v>
          </cell>
          <cell r="K12">
            <v>5016</v>
          </cell>
        </row>
        <row r="13">
          <cell r="C13">
            <v>101</v>
          </cell>
          <cell r="D13">
            <v>2070</v>
          </cell>
          <cell r="J13">
            <v>6</v>
          </cell>
          <cell r="K13">
            <v>430</v>
          </cell>
        </row>
        <row r="14">
          <cell r="C14">
            <v>321</v>
          </cell>
          <cell r="D14">
            <v>245</v>
          </cell>
          <cell r="J14">
            <v>5</v>
          </cell>
          <cell r="K14">
            <v>148</v>
          </cell>
        </row>
        <row r="15">
          <cell r="C15">
            <v>58</v>
          </cell>
          <cell r="D15">
            <v>139</v>
          </cell>
          <cell r="J15">
            <v>1</v>
          </cell>
          <cell r="K15">
            <v>19</v>
          </cell>
        </row>
        <row r="16">
          <cell r="C16">
            <v>1327</v>
          </cell>
          <cell r="D16">
            <v>2644</v>
          </cell>
          <cell r="J16">
            <v>10</v>
          </cell>
          <cell r="K16">
            <v>286</v>
          </cell>
        </row>
        <row r="17">
          <cell r="C17">
            <v>397</v>
          </cell>
          <cell r="D17">
            <v>120</v>
          </cell>
          <cell r="J17">
            <v>0</v>
          </cell>
          <cell r="K17">
            <v>0</v>
          </cell>
        </row>
        <row r="18">
          <cell r="C18">
            <v>57</v>
          </cell>
          <cell r="D18">
            <v>192</v>
          </cell>
          <cell r="J18">
            <v>10</v>
          </cell>
          <cell r="K18">
            <v>305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5931</v>
          </cell>
          <cell r="D25">
            <v>29611</v>
          </cell>
          <cell r="J25">
            <v>21</v>
          </cell>
          <cell r="K25">
            <v>3429</v>
          </cell>
        </row>
        <row r="26">
          <cell r="C26">
            <v>242</v>
          </cell>
          <cell r="D26">
            <v>4122</v>
          </cell>
          <cell r="J26">
            <v>22</v>
          </cell>
          <cell r="K26">
            <v>17686</v>
          </cell>
        </row>
        <row r="27">
          <cell r="C27">
            <v>32</v>
          </cell>
          <cell r="D27">
            <v>551</v>
          </cell>
          <cell r="J27">
            <v>2</v>
          </cell>
          <cell r="K27">
            <v>178</v>
          </cell>
        </row>
        <row r="28">
          <cell r="C28">
            <v>1</v>
          </cell>
          <cell r="D28">
            <v>6</v>
          </cell>
          <cell r="J28">
            <v>0</v>
          </cell>
          <cell r="K28">
            <v>0</v>
          </cell>
        </row>
        <row r="29">
          <cell r="C29">
            <v>7</v>
          </cell>
          <cell r="D29">
            <v>39</v>
          </cell>
          <cell r="J29">
            <v>0</v>
          </cell>
          <cell r="K29">
            <v>0</v>
          </cell>
        </row>
        <row r="30">
          <cell r="C30">
            <v>161</v>
          </cell>
          <cell r="D30">
            <v>298</v>
          </cell>
          <cell r="J30">
            <v>0</v>
          </cell>
          <cell r="K30">
            <v>0</v>
          </cell>
        </row>
        <row r="31">
          <cell r="C31">
            <v>210</v>
          </cell>
          <cell r="D31">
            <v>1152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9010</v>
          </cell>
          <cell r="D34">
            <v>28771</v>
          </cell>
          <cell r="J34">
            <v>1</v>
          </cell>
          <cell r="K34">
            <v>4799</v>
          </cell>
        </row>
        <row r="35">
          <cell r="C35">
            <v>112</v>
          </cell>
          <cell r="D35">
            <v>939</v>
          </cell>
          <cell r="J35">
            <v>1</v>
          </cell>
          <cell r="K35">
            <v>119</v>
          </cell>
        </row>
        <row r="36">
          <cell r="C36">
            <v>13</v>
          </cell>
          <cell r="D36">
            <v>74</v>
          </cell>
          <cell r="J36">
            <v>0</v>
          </cell>
          <cell r="K36">
            <v>0</v>
          </cell>
        </row>
        <row r="37">
          <cell r="C37">
            <v>3</v>
          </cell>
          <cell r="D37">
            <v>29</v>
          </cell>
          <cell r="J37">
            <v>0</v>
          </cell>
          <cell r="K37">
            <v>0</v>
          </cell>
        </row>
        <row r="38">
          <cell r="C38">
            <v>5</v>
          </cell>
          <cell r="D38">
            <v>48</v>
          </cell>
          <cell r="J38">
            <v>0</v>
          </cell>
          <cell r="K38">
            <v>0</v>
          </cell>
        </row>
        <row r="39">
          <cell r="C39">
            <v>10</v>
          </cell>
          <cell r="D39">
            <v>31</v>
          </cell>
          <cell r="J39">
            <v>0</v>
          </cell>
          <cell r="K39">
            <v>0</v>
          </cell>
        </row>
        <row r="40">
          <cell r="C40">
            <v>51</v>
          </cell>
          <cell r="D40">
            <v>34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2" refreshError="1"/>
      <sheetData sheetId="3">
        <row r="10">
          <cell r="P10">
            <v>11199</v>
          </cell>
        </row>
        <row r="11">
          <cell r="P11">
            <v>16552</v>
          </cell>
        </row>
        <row r="12">
          <cell r="P12">
            <v>34788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92</v>
          </cell>
        </row>
        <row r="16">
          <cell r="P16">
            <v>8357</v>
          </cell>
        </row>
        <row r="17">
          <cell r="P17">
            <v>23021</v>
          </cell>
        </row>
        <row r="20">
          <cell r="P20">
            <v>12861</v>
          </cell>
        </row>
        <row r="26">
          <cell r="P26">
            <v>138420</v>
          </cell>
        </row>
        <row r="33">
          <cell r="P33">
            <v>0</v>
          </cell>
        </row>
        <row r="34">
          <cell r="P34">
            <v>24</v>
          </cell>
        </row>
        <row r="35">
          <cell r="P35">
            <v>4254</v>
          </cell>
        </row>
        <row r="36">
          <cell r="P36">
            <v>20</v>
          </cell>
        </row>
        <row r="37">
          <cell r="P37">
            <v>626</v>
          </cell>
        </row>
        <row r="38">
          <cell r="P38">
            <v>2</v>
          </cell>
        </row>
        <row r="39">
          <cell r="P39">
            <v>0</v>
          </cell>
        </row>
        <row r="40">
          <cell r="P40">
            <v>4533</v>
          </cell>
        </row>
      </sheetData>
      <sheetData sheetId="4">
        <row r="10">
          <cell r="C10">
            <v>13748</v>
          </cell>
          <cell r="G10">
            <v>9715</v>
          </cell>
          <cell r="K10">
            <v>0</v>
          </cell>
        </row>
        <row r="11">
          <cell r="C11">
            <v>14792</v>
          </cell>
          <cell r="G11">
            <v>2857</v>
          </cell>
          <cell r="K11">
            <v>0</v>
          </cell>
        </row>
        <row r="12">
          <cell r="C12">
            <v>46093</v>
          </cell>
          <cell r="G12">
            <v>21642</v>
          </cell>
          <cell r="K12">
            <v>2196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84</v>
          </cell>
          <cell r="G15">
            <v>0</v>
          </cell>
          <cell r="K15">
            <v>0</v>
          </cell>
        </row>
        <row r="16">
          <cell r="C16">
            <v>533</v>
          </cell>
          <cell r="G16">
            <v>601</v>
          </cell>
          <cell r="K16">
            <v>0</v>
          </cell>
        </row>
        <row r="17">
          <cell r="C17">
            <v>30443</v>
          </cell>
          <cell r="G17">
            <v>1076</v>
          </cell>
          <cell r="K17">
            <v>0</v>
          </cell>
        </row>
        <row r="20">
          <cell r="C20">
            <v>19110</v>
          </cell>
          <cell r="G20">
            <v>11851</v>
          </cell>
          <cell r="K20">
            <v>0</v>
          </cell>
        </row>
        <row r="26">
          <cell r="C26">
            <v>154105</v>
          </cell>
          <cell r="G26">
            <v>206457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32</v>
          </cell>
          <cell r="G34">
            <v>0</v>
          </cell>
          <cell r="K34">
            <v>0</v>
          </cell>
        </row>
        <row r="35">
          <cell r="C35">
            <v>5787</v>
          </cell>
          <cell r="G35">
            <v>1276</v>
          </cell>
          <cell r="K35">
            <v>0</v>
          </cell>
        </row>
        <row r="36">
          <cell r="C36">
            <v>10</v>
          </cell>
          <cell r="G36">
            <v>0</v>
          </cell>
          <cell r="K36">
            <v>0</v>
          </cell>
        </row>
        <row r="37">
          <cell r="C37">
            <v>759</v>
          </cell>
          <cell r="G37">
            <v>0</v>
          </cell>
          <cell r="K37">
            <v>0</v>
          </cell>
        </row>
        <row r="38">
          <cell r="C38">
            <v>29</v>
          </cell>
          <cell r="G38">
            <v>86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3312</v>
          </cell>
          <cell r="G40">
            <v>2239</v>
          </cell>
          <cell r="K40">
            <v>0</v>
          </cell>
        </row>
        <row r="41">
          <cell r="C41">
            <v>288837</v>
          </cell>
          <cell r="D41">
            <v>1369</v>
          </cell>
          <cell r="E41">
            <v>177155</v>
          </cell>
          <cell r="G41">
            <v>257800</v>
          </cell>
          <cell r="I41">
            <v>30213</v>
          </cell>
          <cell r="K41">
            <v>2196</v>
          </cell>
          <cell r="M41">
            <v>23000</v>
          </cell>
        </row>
      </sheetData>
      <sheetData sheetId="5">
        <row r="9">
          <cell r="C9">
            <v>7971</v>
          </cell>
          <cell r="D9">
            <v>79203</v>
          </cell>
        </row>
        <row r="18">
          <cell r="C18">
            <v>6817</v>
          </cell>
          <cell r="D18">
            <v>51698</v>
          </cell>
          <cell r="E18">
            <v>13856</v>
          </cell>
        </row>
        <row r="19">
          <cell r="C19">
            <v>7502</v>
          </cell>
          <cell r="D19">
            <v>41930</v>
          </cell>
          <cell r="E19">
            <v>12773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354</v>
          </cell>
          <cell r="D21">
            <v>4663</v>
          </cell>
          <cell r="E21">
            <v>725</v>
          </cell>
        </row>
        <row r="22">
          <cell r="C22">
            <v>1445</v>
          </cell>
          <cell r="D22">
            <v>3815</v>
          </cell>
          <cell r="E22">
            <v>1064</v>
          </cell>
        </row>
        <row r="29">
          <cell r="C29">
            <v>4414</v>
          </cell>
          <cell r="D29">
            <v>18679</v>
          </cell>
          <cell r="E29">
            <v>3523</v>
          </cell>
        </row>
        <row r="38">
          <cell r="C38">
            <v>24757</v>
          </cell>
          <cell r="D38">
            <v>130859</v>
          </cell>
          <cell r="E38">
            <v>31348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81889</v>
          </cell>
          <cell r="D10">
            <v>44456.31</v>
          </cell>
          <cell r="F10">
            <v>540</v>
          </cell>
          <cell r="G10">
            <v>11171.67</v>
          </cell>
          <cell r="H10">
            <v>128</v>
          </cell>
          <cell r="I10">
            <v>3995.36</v>
          </cell>
        </row>
        <row r="20">
          <cell r="C20">
            <v>8132</v>
          </cell>
          <cell r="D20">
            <v>84448.59</v>
          </cell>
          <cell r="F20">
            <v>3365</v>
          </cell>
          <cell r="G20">
            <v>51164.41</v>
          </cell>
          <cell r="H20">
            <v>542</v>
          </cell>
          <cell r="I20">
            <v>7025.07</v>
          </cell>
        </row>
        <row r="24">
          <cell r="C24">
            <v>4826</v>
          </cell>
          <cell r="D24">
            <v>145883.45000000001</v>
          </cell>
          <cell r="F24">
            <v>640</v>
          </cell>
          <cell r="G24">
            <v>73867.429999999993</v>
          </cell>
          <cell r="H24">
            <v>404</v>
          </cell>
          <cell r="I24">
            <v>56265.84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22</v>
          </cell>
          <cell r="D33">
            <v>1492.35</v>
          </cell>
          <cell r="F33">
            <v>1</v>
          </cell>
          <cell r="G33">
            <v>7.64</v>
          </cell>
          <cell r="H33">
            <v>0</v>
          </cell>
          <cell r="I33">
            <v>0</v>
          </cell>
        </row>
        <row r="36">
          <cell r="C36">
            <v>131</v>
          </cell>
          <cell r="D36">
            <v>2929.99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14510</v>
          </cell>
          <cell r="D40">
            <v>61225.85</v>
          </cell>
          <cell r="F40">
            <v>58</v>
          </cell>
          <cell r="G40">
            <v>25930.27</v>
          </cell>
          <cell r="H40">
            <v>51</v>
          </cell>
          <cell r="I40">
            <v>17543.96</v>
          </cell>
        </row>
        <row r="56">
          <cell r="C56">
            <v>25023</v>
          </cell>
          <cell r="D56">
            <v>124151.12</v>
          </cell>
          <cell r="F56">
            <v>513</v>
          </cell>
          <cell r="G56">
            <v>43571.02</v>
          </cell>
          <cell r="H56">
            <v>199</v>
          </cell>
          <cell r="I56">
            <v>15974.55</v>
          </cell>
        </row>
        <row r="88">
          <cell r="C88">
            <v>50069</v>
          </cell>
          <cell r="D88">
            <v>296017.24</v>
          </cell>
          <cell r="F88">
            <v>1371</v>
          </cell>
          <cell r="G88">
            <v>111820.14</v>
          </cell>
          <cell r="H88">
            <v>960</v>
          </cell>
          <cell r="I88">
            <v>249273.48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157</v>
          </cell>
          <cell r="D128">
            <v>645.41</v>
          </cell>
          <cell r="F128">
            <v>0</v>
          </cell>
          <cell r="G128">
            <v>0</v>
          </cell>
          <cell r="H128">
            <v>1</v>
          </cell>
          <cell r="I128">
            <v>197.41</v>
          </cell>
        </row>
        <row r="132">
          <cell r="C132">
            <v>9472</v>
          </cell>
          <cell r="D132">
            <v>13278.44</v>
          </cell>
          <cell r="F132">
            <v>31</v>
          </cell>
          <cell r="G132">
            <v>889.55</v>
          </cell>
          <cell r="H132">
            <v>25</v>
          </cell>
          <cell r="I132">
            <v>2042.48</v>
          </cell>
        </row>
        <row r="153">
          <cell r="C153">
            <v>47</v>
          </cell>
          <cell r="D153">
            <v>8169.69</v>
          </cell>
          <cell r="F153">
            <v>0</v>
          </cell>
          <cell r="G153">
            <v>0</v>
          </cell>
          <cell r="H153">
            <v>1</v>
          </cell>
          <cell r="I153">
            <v>8421.56</v>
          </cell>
        </row>
        <row r="158">
          <cell r="C158">
            <v>1</v>
          </cell>
          <cell r="D158">
            <v>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180</v>
          </cell>
          <cell r="D161">
            <v>8827.4</v>
          </cell>
          <cell r="F161">
            <v>5</v>
          </cell>
          <cell r="G161">
            <v>2115.98</v>
          </cell>
          <cell r="H161">
            <v>6</v>
          </cell>
          <cell r="I161">
            <v>2901.11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50977</v>
          </cell>
          <cell r="D170">
            <v>31010.16</v>
          </cell>
          <cell r="F170">
            <v>294</v>
          </cell>
          <cell r="G170">
            <v>13200.59</v>
          </cell>
          <cell r="H170">
            <v>363</v>
          </cell>
          <cell r="I170">
            <v>11509.48</v>
          </cell>
        </row>
        <row r="175">
          <cell r="C175">
            <v>140686</v>
          </cell>
        </row>
      </sheetData>
      <sheetData sheetId="2">
        <row r="11">
          <cell r="C11">
            <v>25543</v>
          </cell>
          <cell r="D11">
            <v>153562.85999999999</v>
          </cell>
          <cell r="J11">
            <v>1016</v>
          </cell>
          <cell r="K11">
            <v>69995.710000000006</v>
          </cell>
        </row>
        <row r="12">
          <cell r="C12">
            <v>3581</v>
          </cell>
          <cell r="D12">
            <v>40142.94</v>
          </cell>
          <cell r="J12">
            <v>182</v>
          </cell>
          <cell r="K12">
            <v>21212.080000000002</v>
          </cell>
        </row>
        <row r="13">
          <cell r="C13">
            <v>192</v>
          </cell>
          <cell r="D13">
            <v>4408.1499999999996</v>
          </cell>
          <cell r="J13">
            <v>10</v>
          </cell>
          <cell r="K13">
            <v>618.75</v>
          </cell>
        </row>
        <row r="14">
          <cell r="C14">
            <v>719</v>
          </cell>
          <cell r="D14">
            <v>597.61</v>
          </cell>
          <cell r="J14">
            <v>6</v>
          </cell>
          <cell r="K14">
            <v>775.51</v>
          </cell>
        </row>
        <row r="15">
          <cell r="C15">
            <v>38</v>
          </cell>
          <cell r="D15">
            <v>119.66</v>
          </cell>
          <cell r="J15">
            <v>1</v>
          </cell>
          <cell r="K15">
            <v>22.6</v>
          </cell>
        </row>
        <row r="16">
          <cell r="C16">
            <v>3780</v>
          </cell>
          <cell r="D16">
            <v>8149.2</v>
          </cell>
          <cell r="J16">
            <v>25</v>
          </cell>
          <cell r="K16">
            <v>2590.94</v>
          </cell>
        </row>
        <row r="17">
          <cell r="C17">
            <v>996</v>
          </cell>
          <cell r="D17">
            <v>318.60000000000002</v>
          </cell>
          <cell r="J17">
            <v>0</v>
          </cell>
          <cell r="K17">
            <v>0.48</v>
          </cell>
        </row>
        <row r="18">
          <cell r="C18">
            <v>127</v>
          </cell>
          <cell r="D18">
            <v>473.75</v>
          </cell>
          <cell r="J18">
            <v>2</v>
          </cell>
          <cell r="K18">
            <v>74.55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12564</v>
          </cell>
          <cell r="D25">
            <v>59726.55</v>
          </cell>
          <cell r="J25">
            <v>32</v>
          </cell>
          <cell r="K25">
            <v>2868</v>
          </cell>
        </row>
        <row r="26">
          <cell r="C26">
            <v>645</v>
          </cell>
          <cell r="D26">
            <v>9952.75</v>
          </cell>
          <cell r="J26">
            <v>42</v>
          </cell>
          <cell r="K26">
            <v>5682.24</v>
          </cell>
        </row>
        <row r="27">
          <cell r="C27">
            <v>118</v>
          </cell>
          <cell r="D27">
            <v>1896.82</v>
          </cell>
          <cell r="J27">
            <v>6</v>
          </cell>
          <cell r="K27">
            <v>1017.27</v>
          </cell>
        </row>
        <row r="28">
          <cell r="C28">
            <v>3</v>
          </cell>
          <cell r="D28">
            <v>11.37</v>
          </cell>
          <cell r="J28">
            <v>0</v>
          </cell>
          <cell r="K28">
            <v>0</v>
          </cell>
        </row>
        <row r="29">
          <cell r="C29">
            <v>4</v>
          </cell>
          <cell r="D29">
            <v>22.14</v>
          </cell>
          <cell r="J29">
            <v>0</v>
          </cell>
          <cell r="K29">
            <v>0</v>
          </cell>
        </row>
        <row r="30">
          <cell r="C30">
            <v>628</v>
          </cell>
          <cell r="D30">
            <v>1115.21</v>
          </cell>
          <cell r="J30">
            <v>0</v>
          </cell>
          <cell r="K30">
            <v>0</v>
          </cell>
        </row>
        <row r="31">
          <cell r="C31">
            <v>603</v>
          </cell>
          <cell r="D31">
            <v>3112.46</v>
          </cell>
          <cell r="J31">
            <v>1</v>
          </cell>
          <cell r="K31">
            <v>66.08</v>
          </cell>
        </row>
        <row r="32">
          <cell r="C32">
            <v>2</v>
          </cell>
          <cell r="D32">
            <v>5.84</v>
          </cell>
          <cell r="J32">
            <v>0</v>
          </cell>
          <cell r="K32">
            <v>0</v>
          </cell>
        </row>
        <row r="34">
          <cell r="C34">
            <v>107</v>
          </cell>
          <cell r="D34">
            <v>735.59</v>
          </cell>
          <cell r="J34">
            <v>0</v>
          </cell>
          <cell r="K34">
            <v>0</v>
          </cell>
        </row>
        <row r="35">
          <cell r="C35">
            <v>1</v>
          </cell>
          <cell r="D35">
            <v>7.4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6</v>
          </cell>
          <cell r="D39">
            <v>35.159999999999997</v>
          </cell>
          <cell r="J39">
            <v>0</v>
          </cell>
          <cell r="K39">
            <v>0</v>
          </cell>
        </row>
        <row r="40">
          <cell r="C40">
            <v>3</v>
          </cell>
          <cell r="D40">
            <v>1.54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36978.480000000003</v>
          </cell>
        </row>
        <row r="11">
          <cell r="P11">
            <v>70387.06</v>
          </cell>
        </row>
        <row r="12">
          <cell r="P12">
            <v>116711.9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1193.8800000000001</v>
          </cell>
        </row>
        <row r="16">
          <cell r="P16">
            <v>2343.9899999999998</v>
          </cell>
        </row>
        <row r="17">
          <cell r="P17">
            <v>49272.4</v>
          </cell>
        </row>
        <row r="20">
          <cell r="P20">
            <v>100382.44</v>
          </cell>
        </row>
        <row r="26">
          <cell r="P26">
            <v>227717.14</v>
          </cell>
        </row>
        <row r="33">
          <cell r="P33">
            <v>0</v>
          </cell>
        </row>
        <row r="34">
          <cell r="P34">
            <v>537.84</v>
          </cell>
        </row>
        <row r="35">
          <cell r="P35">
            <v>10994.58</v>
          </cell>
        </row>
        <row r="36">
          <cell r="P36">
            <v>5718.66</v>
          </cell>
        </row>
        <row r="37">
          <cell r="P37">
            <v>3.33</v>
          </cell>
        </row>
        <row r="38">
          <cell r="P38">
            <v>7356.16</v>
          </cell>
        </row>
        <row r="39">
          <cell r="P39">
            <v>0</v>
          </cell>
        </row>
        <row r="40">
          <cell r="P40">
            <v>20822.580000000002</v>
          </cell>
        </row>
      </sheetData>
      <sheetData sheetId="5">
        <row r="10">
          <cell r="C10">
            <v>32244.67</v>
          </cell>
          <cell r="G10">
            <v>14687.11</v>
          </cell>
          <cell r="K10">
            <v>0</v>
          </cell>
        </row>
        <row r="11">
          <cell r="C11">
            <v>77403.53</v>
          </cell>
          <cell r="G11">
            <v>11656.68</v>
          </cell>
          <cell r="K11">
            <v>14009.49</v>
          </cell>
        </row>
        <row r="12">
          <cell r="C12">
            <v>151015.84</v>
          </cell>
          <cell r="G12">
            <v>26455.03</v>
          </cell>
          <cell r="K12">
            <v>13208.76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1380.76</v>
          </cell>
          <cell r="G15">
            <v>0</v>
          </cell>
          <cell r="K15">
            <v>0</v>
          </cell>
        </row>
        <row r="16">
          <cell r="C16">
            <v>1835.51</v>
          </cell>
          <cell r="G16">
            <v>0</v>
          </cell>
          <cell r="K16">
            <v>0</v>
          </cell>
        </row>
        <row r="17">
          <cell r="C17">
            <v>59002.34</v>
          </cell>
          <cell r="G17">
            <v>7062.32</v>
          </cell>
          <cell r="K17">
            <v>0</v>
          </cell>
        </row>
        <row r="20">
          <cell r="C20">
            <v>118535.23</v>
          </cell>
          <cell r="G20">
            <v>23586.1</v>
          </cell>
          <cell r="K20">
            <v>0</v>
          </cell>
        </row>
        <row r="26">
          <cell r="C26">
            <v>300657.69</v>
          </cell>
          <cell r="G26">
            <v>176046.54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656.7</v>
          </cell>
          <cell r="G34">
            <v>0</v>
          </cell>
        </row>
        <row r="35">
          <cell r="C35">
            <v>10391.950000000001</v>
          </cell>
          <cell r="G35">
            <v>200</v>
          </cell>
          <cell r="K35">
            <v>0</v>
          </cell>
        </row>
        <row r="36">
          <cell r="C36">
            <v>2530.5500000000002</v>
          </cell>
          <cell r="G36">
            <v>0</v>
          </cell>
          <cell r="K36">
            <v>0</v>
          </cell>
        </row>
        <row r="37">
          <cell r="C37">
            <v>2.87</v>
          </cell>
          <cell r="G37">
            <v>0</v>
          </cell>
          <cell r="K37">
            <v>0</v>
          </cell>
        </row>
        <row r="38">
          <cell r="C38">
            <v>5252.88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7771.25</v>
          </cell>
          <cell r="G40">
            <v>2520.7199999999998</v>
          </cell>
          <cell r="K40">
            <v>0</v>
          </cell>
        </row>
        <row r="41">
          <cell r="C41">
            <v>768681.77</v>
          </cell>
          <cell r="D41">
            <v>10997.61</v>
          </cell>
          <cell r="E41">
            <v>375150.3</v>
          </cell>
          <cell r="G41">
            <v>262214.51</v>
          </cell>
          <cell r="I41">
            <v>20395.7</v>
          </cell>
          <cell r="K41">
            <v>27218.25</v>
          </cell>
          <cell r="M41">
            <v>0</v>
          </cell>
        </row>
      </sheetData>
      <sheetData sheetId="6">
        <row r="9">
          <cell r="C9">
            <v>50634</v>
          </cell>
          <cell r="D9">
            <v>455982.03</v>
          </cell>
        </row>
        <row r="18">
          <cell r="C18">
            <v>22062</v>
          </cell>
          <cell r="D18">
            <v>163238.96</v>
          </cell>
          <cell r="E18">
            <v>34021.519999999997</v>
          </cell>
        </row>
        <row r="19">
          <cell r="C19">
            <v>2276</v>
          </cell>
          <cell r="D19">
            <v>10045.709999999999</v>
          </cell>
          <cell r="E19">
            <v>2318.52</v>
          </cell>
        </row>
        <row r="20">
          <cell r="C20">
            <v>2063</v>
          </cell>
          <cell r="D20">
            <v>1397.71</v>
          </cell>
          <cell r="E20">
            <v>419.3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24880</v>
          </cell>
          <cell r="D22">
            <v>35633.279999999999</v>
          </cell>
          <cell r="E22">
            <v>10917.31</v>
          </cell>
        </row>
        <row r="29">
          <cell r="C29">
            <v>20059</v>
          </cell>
          <cell r="D29">
            <v>143034.57999999999</v>
          </cell>
          <cell r="E29">
            <v>28450.77</v>
          </cell>
        </row>
        <row r="38">
          <cell r="C38">
            <v>18712</v>
          </cell>
          <cell r="D38">
            <v>13207.78</v>
          </cell>
          <cell r="E38">
            <v>969.24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>
        <row r="10">
          <cell r="C10">
            <v>30357</v>
          </cell>
          <cell r="D10">
            <v>71421</v>
          </cell>
          <cell r="F10">
            <v>654</v>
          </cell>
          <cell r="G10">
            <v>38796</v>
          </cell>
          <cell r="H10">
            <v>208</v>
          </cell>
          <cell r="I10">
            <v>10474.4</v>
          </cell>
        </row>
        <row r="20">
          <cell r="C20">
            <v>663</v>
          </cell>
          <cell r="D20">
            <v>141322</v>
          </cell>
          <cell r="F20">
            <v>5997</v>
          </cell>
          <cell r="G20">
            <v>71267</v>
          </cell>
          <cell r="H20">
            <v>656</v>
          </cell>
          <cell r="I20">
            <v>13333.66</v>
          </cell>
        </row>
        <row r="24">
          <cell r="C24">
            <v>2787</v>
          </cell>
          <cell r="D24">
            <v>84932</v>
          </cell>
          <cell r="F24">
            <v>292</v>
          </cell>
          <cell r="G24">
            <v>29546</v>
          </cell>
          <cell r="H24">
            <v>383</v>
          </cell>
          <cell r="I24">
            <v>34124.839999999997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7</v>
          </cell>
          <cell r="D30">
            <v>15474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328</v>
          </cell>
          <cell r="D36">
            <v>21783</v>
          </cell>
          <cell r="F36">
            <v>0</v>
          </cell>
          <cell r="G36">
            <v>0</v>
          </cell>
          <cell r="H36">
            <v>2</v>
          </cell>
          <cell r="I36">
            <v>3296</v>
          </cell>
        </row>
        <row r="40">
          <cell r="C40">
            <v>6898</v>
          </cell>
          <cell r="D40">
            <v>164584</v>
          </cell>
          <cell r="F40">
            <v>154</v>
          </cell>
          <cell r="G40">
            <v>7367</v>
          </cell>
          <cell r="H40">
            <v>51</v>
          </cell>
          <cell r="I40">
            <v>42237.65</v>
          </cell>
        </row>
        <row r="56">
          <cell r="C56">
            <v>5978</v>
          </cell>
          <cell r="D56">
            <v>53865</v>
          </cell>
          <cell r="F56">
            <v>36</v>
          </cell>
          <cell r="G56">
            <v>1025</v>
          </cell>
          <cell r="H56">
            <v>52</v>
          </cell>
          <cell r="I56">
            <v>9569.64</v>
          </cell>
        </row>
        <row r="88">
          <cell r="C88">
            <v>46693</v>
          </cell>
          <cell r="D88">
            <v>251998</v>
          </cell>
          <cell r="F88">
            <v>1159</v>
          </cell>
          <cell r="G88">
            <v>97832</v>
          </cell>
          <cell r="H88">
            <v>1659</v>
          </cell>
          <cell r="I88">
            <v>237151.04</v>
          </cell>
        </row>
        <row r="124">
          <cell r="C124">
            <v>6</v>
          </cell>
          <cell r="D124">
            <v>2603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137</v>
          </cell>
          <cell r="D128">
            <v>525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6847</v>
          </cell>
          <cell r="D132">
            <v>34286</v>
          </cell>
          <cell r="F132">
            <v>15</v>
          </cell>
          <cell r="G132">
            <v>952</v>
          </cell>
          <cell r="H132">
            <v>30</v>
          </cell>
          <cell r="I132">
            <v>2868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33</v>
          </cell>
          <cell r="D158">
            <v>128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533</v>
          </cell>
          <cell r="D161">
            <v>288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48561</v>
          </cell>
          <cell r="D170">
            <v>26976</v>
          </cell>
          <cell r="F170">
            <v>294</v>
          </cell>
          <cell r="G170">
            <v>7090</v>
          </cell>
          <cell r="H170">
            <v>217</v>
          </cell>
          <cell r="I170">
            <v>6409</v>
          </cell>
        </row>
        <row r="175">
          <cell r="C175">
            <v>107230</v>
          </cell>
        </row>
      </sheetData>
      <sheetData sheetId="1">
        <row r="11">
          <cell r="C11">
            <v>26398</v>
          </cell>
          <cell r="D11">
            <v>149104</v>
          </cell>
          <cell r="J11">
            <v>1005</v>
          </cell>
          <cell r="K11">
            <v>71910</v>
          </cell>
        </row>
        <row r="12">
          <cell r="C12">
            <v>2548</v>
          </cell>
          <cell r="D12">
            <v>27173</v>
          </cell>
          <cell r="J12">
            <v>109</v>
          </cell>
          <cell r="K12">
            <v>7915</v>
          </cell>
        </row>
        <row r="13">
          <cell r="C13">
            <v>263</v>
          </cell>
          <cell r="D13">
            <v>2296</v>
          </cell>
          <cell r="J13">
            <v>5</v>
          </cell>
          <cell r="K13">
            <v>89</v>
          </cell>
        </row>
        <row r="14">
          <cell r="C14">
            <v>679</v>
          </cell>
          <cell r="D14">
            <v>529</v>
          </cell>
          <cell r="J14">
            <v>1</v>
          </cell>
          <cell r="K14">
            <v>36</v>
          </cell>
        </row>
        <row r="15">
          <cell r="C15">
            <v>26</v>
          </cell>
          <cell r="D15">
            <v>90</v>
          </cell>
          <cell r="J15">
            <v>3</v>
          </cell>
          <cell r="K15">
            <v>328</v>
          </cell>
        </row>
        <row r="16">
          <cell r="C16">
            <v>2697</v>
          </cell>
          <cell r="D16">
            <v>4123</v>
          </cell>
          <cell r="J16">
            <v>6</v>
          </cell>
          <cell r="K16">
            <v>163</v>
          </cell>
        </row>
        <row r="17">
          <cell r="C17">
            <v>588</v>
          </cell>
          <cell r="D17">
            <v>185</v>
          </cell>
          <cell r="J17">
            <v>0</v>
          </cell>
          <cell r="K17">
            <v>0</v>
          </cell>
        </row>
        <row r="18">
          <cell r="C18">
            <v>122</v>
          </cell>
          <cell r="D18">
            <v>500</v>
          </cell>
          <cell r="J18">
            <v>3</v>
          </cell>
          <cell r="K18">
            <v>81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684</v>
          </cell>
          <cell r="D21">
            <v>179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17</v>
          </cell>
          <cell r="D23">
            <v>150</v>
          </cell>
          <cell r="J23">
            <v>0</v>
          </cell>
          <cell r="K23">
            <v>0</v>
          </cell>
        </row>
        <row r="25">
          <cell r="C25">
            <v>11342</v>
          </cell>
          <cell r="D25">
            <v>54255</v>
          </cell>
          <cell r="J25">
            <v>14</v>
          </cell>
          <cell r="K25">
            <v>14755</v>
          </cell>
        </row>
        <row r="26">
          <cell r="C26">
            <v>310</v>
          </cell>
          <cell r="D26">
            <v>4805</v>
          </cell>
          <cell r="J26">
            <v>10</v>
          </cell>
          <cell r="K26">
            <v>1984</v>
          </cell>
        </row>
        <row r="27">
          <cell r="C27">
            <v>201</v>
          </cell>
          <cell r="D27">
            <v>1860</v>
          </cell>
          <cell r="J27">
            <v>1</v>
          </cell>
          <cell r="K27">
            <v>79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4</v>
          </cell>
          <cell r="D29">
            <v>17</v>
          </cell>
          <cell r="J29">
            <v>0</v>
          </cell>
          <cell r="K29">
            <v>0</v>
          </cell>
        </row>
        <row r="30">
          <cell r="C30">
            <v>248</v>
          </cell>
          <cell r="D30">
            <v>435</v>
          </cell>
          <cell r="J30">
            <v>0</v>
          </cell>
          <cell r="K30">
            <v>0</v>
          </cell>
        </row>
        <row r="31">
          <cell r="C31">
            <v>266</v>
          </cell>
          <cell r="D31">
            <v>1390</v>
          </cell>
          <cell r="J31">
            <v>0</v>
          </cell>
          <cell r="K31">
            <v>0</v>
          </cell>
        </row>
        <row r="32">
          <cell r="C32">
            <v>2</v>
          </cell>
          <cell r="D32">
            <v>11</v>
          </cell>
          <cell r="J32">
            <v>0</v>
          </cell>
          <cell r="K32">
            <v>0</v>
          </cell>
        </row>
        <row r="34">
          <cell r="C34">
            <v>117</v>
          </cell>
          <cell r="D34">
            <v>765</v>
          </cell>
          <cell r="J34">
            <v>1</v>
          </cell>
          <cell r="K34">
            <v>378</v>
          </cell>
        </row>
        <row r="35">
          <cell r="C35">
            <v>1</v>
          </cell>
          <cell r="D35">
            <v>7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3</v>
          </cell>
          <cell r="D39">
            <v>13</v>
          </cell>
          <cell r="J39">
            <v>0</v>
          </cell>
          <cell r="K39">
            <v>0</v>
          </cell>
        </row>
        <row r="40">
          <cell r="C40">
            <v>5</v>
          </cell>
          <cell r="D40">
            <v>3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2" refreshError="1"/>
      <sheetData sheetId="3">
        <row r="10">
          <cell r="P10">
            <v>52132.59</v>
          </cell>
        </row>
        <row r="11">
          <cell r="P11">
            <v>118710.07</v>
          </cell>
        </row>
        <row r="12">
          <cell r="P12">
            <v>72192.42</v>
          </cell>
        </row>
        <row r="13">
          <cell r="P13">
            <v>0</v>
          </cell>
        </row>
        <row r="14">
          <cell r="P14">
            <v>11605.77</v>
          </cell>
        </row>
        <row r="15">
          <cell r="P15">
            <v>0</v>
          </cell>
        </row>
        <row r="16">
          <cell r="P16">
            <v>16336.76</v>
          </cell>
        </row>
        <row r="17">
          <cell r="P17">
            <v>139898</v>
          </cell>
        </row>
        <row r="20">
          <cell r="P20">
            <v>45785</v>
          </cell>
        </row>
        <row r="26">
          <cell r="P26">
            <v>196</v>
          </cell>
        </row>
        <row r="33">
          <cell r="P33">
            <v>1952</v>
          </cell>
        </row>
        <row r="34">
          <cell r="P34">
            <v>399</v>
          </cell>
        </row>
        <row r="35">
          <cell r="P35">
            <v>28457.38</v>
          </cell>
        </row>
        <row r="36">
          <cell r="P36">
            <v>0</v>
          </cell>
        </row>
        <row r="37">
          <cell r="P37">
            <v>109</v>
          </cell>
        </row>
        <row r="38">
          <cell r="P38">
            <v>244</v>
          </cell>
        </row>
        <row r="39">
          <cell r="P39">
            <v>0</v>
          </cell>
        </row>
        <row r="40">
          <cell r="P40">
            <v>14837</v>
          </cell>
        </row>
      </sheetData>
      <sheetData sheetId="4">
        <row r="10">
          <cell r="C10">
            <v>52235</v>
          </cell>
          <cell r="G10">
            <v>33733</v>
          </cell>
          <cell r="K10">
            <v>4192</v>
          </cell>
        </row>
        <row r="11">
          <cell r="C11">
            <v>121962</v>
          </cell>
          <cell r="G11">
            <v>8155</v>
          </cell>
          <cell r="K11">
            <v>17735</v>
          </cell>
        </row>
        <row r="12">
          <cell r="C12">
            <v>86216</v>
          </cell>
          <cell r="G12">
            <v>12658</v>
          </cell>
          <cell r="K12">
            <v>0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1</v>
          </cell>
          <cell r="G15">
            <v>0</v>
          </cell>
          <cell r="K15">
            <v>0</v>
          </cell>
        </row>
        <row r="16">
          <cell r="C16">
            <v>17351</v>
          </cell>
          <cell r="G16">
            <v>24</v>
          </cell>
          <cell r="K16">
            <v>0</v>
          </cell>
        </row>
        <row r="17">
          <cell r="C17">
            <v>424243</v>
          </cell>
          <cell r="G17">
            <v>23274</v>
          </cell>
          <cell r="K17">
            <v>0</v>
          </cell>
        </row>
        <row r="20">
          <cell r="C20">
            <v>235212</v>
          </cell>
          <cell r="G20">
            <v>6556</v>
          </cell>
          <cell r="K20">
            <v>0</v>
          </cell>
        </row>
        <row r="26">
          <cell r="C26">
            <v>252015</v>
          </cell>
          <cell r="G26">
            <v>240344</v>
          </cell>
          <cell r="K26">
            <v>0</v>
          </cell>
        </row>
        <row r="33">
          <cell r="C33">
            <v>8</v>
          </cell>
          <cell r="G33">
            <v>0</v>
          </cell>
          <cell r="K33">
            <v>0</v>
          </cell>
        </row>
        <row r="34">
          <cell r="C34">
            <v>530</v>
          </cell>
          <cell r="G34">
            <v>0</v>
          </cell>
          <cell r="K34">
            <v>0</v>
          </cell>
        </row>
        <row r="35">
          <cell r="C35">
            <v>101634</v>
          </cell>
          <cell r="G35">
            <v>4186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226</v>
          </cell>
          <cell r="G37">
            <v>0</v>
          </cell>
          <cell r="K37">
            <v>0</v>
          </cell>
        </row>
        <row r="38">
          <cell r="C38">
            <v>317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12777</v>
          </cell>
          <cell r="G40">
            <v>3139</v>
          </cell>
          <cell r="K40">
            <v>2379</v>
          </cell>
        </row>
        <row r="41">
          <cell r="C41">
            <v>1304727</v>
          </cell>
          <cell r="D41">
            <v>8643</v>
          </cell>
          <cell r="E41">
            <v>359464.23</v>
          </cell>
          <cell r="G41">
            <v>332067</v>
          </cell>
          <cell r="I41">
            <v>9287.9699999999993</v>
          </cell>
          <cell r="K41">
            <v>24306</v>
          </cell>
          <cell r="M41">
            <v>0</v>
          </cell>
        </row>
      </sheetData>
      <sheetData sheetId="5">
        <row r="9">
          <cell r="C9">
            <v>78120</v>
          </cell>
          <cell r="D9">
            <v>642632.19999999995</v>
          </cell>
        </row>
        <row r="18">
          <cell r="C18">
            <v>16357</v>
          </cell>
          <cell r="D18">
            <v>198234.48</v>
          </cell>
          <cell r="E18">
            <v>42639.88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10093</v>
          </cell>
          <cell r="D20">
            <v>5746.33</v>
          </cell>
          <cell r="E20">
            <v>1734.21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2647</v>
          </cell>
          <cell r="D29">
            <v>23474.29</v>
          </cell>
          <cell r="E29">
            <v>6320</v>
          </cell>
        </row>
        <row r="38">
          <cell r="C38">
            <v>13</v>
          </cell>
          <cell r="D38">
            <v>98</v>
          </cell>
          <cell r="E38">
            <v>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>
        <row r="10">
          <cell r="C10">
            <v>42394</v>
          </cell>
          <cell r="D10">
            <v>22371.03</v>
          </cell>
          <cell r="F10">
            <v>183</v>
          </cell>
          <cell r="G10">
            <v>5111.91</v>
          </cell>
          <cell r="H10">
            <v>84</v>
          </cell>
          <cell r="I10">
            <v>1752.68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694</v>
          </cell>
          <cell r="D24">
            <v>12919.19</v>
          </cell>
          <cell r="F24">
            <v>104</v>
          </cell>
          <cell r="G24">
            <v>6335.65</v>
          </cell>
          <cell r="H24">
            <v>145</v>
          </cell>
          <cell r="I24">
            <v>8825.8799999999992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586</v>
          </cell>
          <cell r="D40">
            <v>1999.08</v>
          </cell>
          <cell r="F40">
            <v>3</v>
          </cell>
          <cell r="G40">
            <v>69.16</v>
          </cell>
          <cell r="H40">
            <v>14</v>
          </cell>
          <cell r="I40">
            <v>485.44</v>
          </cell>
        </row>
        <row r="56">
          <cell r="C56">
            <v>384</v>
          </cell>
          <cell r="D56">
            <v>928</v>
          </cell>
          <cell r="F56">
            <v>8</v>
          </cell>
          <cell r="G56">
            <v>38.31</v>
          </cell>
          <cell r="H56">
            <v>13</v>
          </cell>
          <cell r="I56">
            <v>459.28</v>
          </cell>
        </row>
        <row r="88">
          <cell r="C88">
            <v>71765</v>
          </cell>
          <cell r="D88">
            <v>372481.74</v>
          </cell>
          <cell r="F88">
            <v>2200</v>
          </cell>
          <cell r="G88">
            <v>133309.72</v>
          </cell>
          <cell r="H88">
            <v>2373</v>
          </cell>
          <cell r="I88">
            <v>181606.9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215</v>
          </cell>
          <cell r="D132">
            <v>764.92</v>
          </cell>
          <cell r="F132">
            <v>0</v>
          </cell>
          <cell r="G132">
            <v>5.14</v>
          </cell>
          <cell r="H132">
            <v>4</v>
          </cell>
          <cell r="I132">
            <v>64.930000000000007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4894</v>
          </cell>
          <cell r="D170">
            <v>2829.3</v>
          </cell>
          <cell r="F170">
            <v>57</v>
          </cell>
          <cell r="G170">
            <v>941.02</v>
          </cell>
          <cell r="H170">
            <v>78</v>
          </cell>
          <cell r="I170">
            <v>1267.0899999999999</v>
          </cell>
        </row>
        <row r="175">
          <cell r="C175">
            <v>77850</v>
          </cell>
        </row>
      </sheetData>
      <sheetData sheetId="1">
        <row r="11">
          <cell r="C11">
            <v>38887</v>
          </cell>
          <cell r="D11">
            <v>223450.94</v>
          </cell>
          <cell r="J11">
            <v>1873</v>
          </cell>
          <cell r="K11">
            <v>102527.29</v>
          </cell>
        </row>
        <row r="12">
          <cell r="C12">
            <v>3307</v>
          </cell>
          <cell r="D12">
            <v>35257.79</v>
          </cell>
          <cell r="J12">
            <v>145</v>
          </cell>
          <cell r="K12">
            <v>7020.55</v>
          </cell>
        </row>
        <row r="13">
          <cell r="C13">
            <v>127</v>
          </cell>
          <cell r="D13">
            <v>2768.3</v>
          </cell>
          <cell r="J13">
            <v>10</v>
          </cell>
          <cell r="K13">
            <v>252.61</v>
          </cell>
        </row>
        <row r="14">
          <cell r="C14">
            <v>1108</v>
          </cell>
          <cell r="D14">
            <v>948.57</v>
          </cell>
          <cell r="J14">
            <v>6</v>
          </cell>
          <cell r="K14">
            <v>438.83</v>
          </cell>
        </row>
        <row r="15">
          <cell r="C15">
            <v>212</v>
          </cell>
          <cell r="D15">
            <v>788.51</v>
          </cell>
          <cell r="J15">
            <v>18</v>
          </cell>
          <cell r="K15">
            <v>1169.3399999999999</v>
          </cell>
        </row>
        <row r="16">
          <cell r="C16">
            <v>5085</v>
          </cell>
          <cell r="D16">
            <v>8714.48</v>
          </cell>
          <cell r="J16">
            <v>42</v>
          </cell>
          <cell r="K16">
            <v>1881.79</v>
          </cell>
        </row>
        <row r="17">
          <cell r="C17">
            <v>932</v>
          </cell>
          <cell r="D17">
            <v>279.97000000000003</v>
          </cell>
          <cell r="J17">
            <v>3</v>
          </cell>
          <cell r="K17">
            <v>174.97</v>
          </cell>
        </row>
        <row r="18">
          <cell r="C18">
            <v>0</v>
          </cell>
          <cell r="D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14676</v>
          </cell>
          <cell r="D25">
            <v>68202.649999999994</v>
          </cell>
          <cell r="J25">
            <v>58</v>
          </cell>
          <cell r="K25">
            <v>11210.38</v>
          </cell>
        </row>
        <row r="26">
          <cell r="C26">
            <v>407</v>
          </cell>
          <cell r="D26">
            <v>6400.16</v>
          </cell>
          <cell r="J26">
            <v>39</v>
          </cell>
          <cell r="K26">
            <v>7517.94</v>
          </cell>
        </row>
        <row r="27">
          <cell r="C27">
            <v>48</v>
          </cell>
          <cell r="D27">
            <v>809.73</v>
          </cell>
          <cell r="J27">
            <v>2</v>
          </cell>
          <cell r="K27">
            <v>435.95</v>
          </cell>
        </row>
        <row r="28">
          <cell r="C28">
            <v>1</v>
          </cell>
          <cell r="D28">
            <v>5.54</v>
          </cell>
          <cell r="J28">
            <v>0</v>
          </cell>
          <cell r="K28">
            <v>0</v>
          </cell>
        </row>
        <row r="29">
          <cell r="C29">
            <v>8</v>
          </cell>
          <cell r="D29">
            <v>44.29</v>
          </cell>
          <cell r="J29">
            <v>0</v>
          </cell>
          <cell r="K29">
            <v>0</v>
          </cell>
        </row>
        <row r="30">
          <cell r="C30">
            <v>480</v>
          </cell>
          <cell r="D30">
            <v>852.35</v>
          </cell>
          <cell r="J30">
            <v>1</v>
          </cell>
          <cell r="K30">
            <v>50.65</v>
          </cell>
        </row>
        <row r="31">
          <cell r="C31">
            <v>376</v>
          </cell>
          <cell r="D31">
            <v>1872.1</v>
          </cell>
          <cell r="J31">
            <v>3</v>
          </cell>
          <cell r="K31">
            <v>629.41999999999996</v>
          </cell>
        </row>
        <row r="32">
          <cell r="C32">
            <v>2</v>
          </cell>
          <cell r="D32">
            <v>5.84</v>
          </cell>
          <cell r="J32">
            <v>0</v>
          </cell>
          <cell r="K32">
            <v>0</v>
          </cell>
        </row>
        <row r="34">
          <cell r="C34">
            <v>6057</v>
          </cell>
          <cell r="D34">
            <v>21181.03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2" refreshError="1"/>
      <sheetData sheetId="3">
        <row r="10">
          <cell r="P10">
            <v>17897</v>
          </cell>
        </row>
        <row r="11">
          <cell r="P11">
            <v>0</v>
          </cell>
        </row>
        <row r="12">
          <cell r="P12">
            <v>10335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1599</v>
          </cell>
        </row>
        <row r="20">
          <cell r="P20">
            <v>742</v>
          </cell>
        </row>
        <row r="26">
          <cell r="P26">
            <v>297986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612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2263</v>
          </cell>
        </row>
      </sheetData>
      <sheetData sheetId="4">
        <row r="10">
          <cell r="C10">
            <v>21784.04</v>
          </cell>
          <cell r="G10">
            <v>6645.2</v>
          </cell>
          <cell r="K10">
            <v>0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13657.12</v>
          </cell>
          <cell r="G12">
            <v>76.55</v>
          </cell>
          <cell r="K12">
            <v>1041.5899999999999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16">
          <cell r="C16">
            <v>0</v>
          </cell>
          <cell r="G16">
            <v>0</v>
          </cell>
          <cell r="K16">
            <v>0</v>
          </cell>
        </row>
        <row r="17">
          <cell r="C17">
            <v>2087.6799999999998</v>
          </cell>
          <cell r="G17">
            <v>22.23</v>
          </cell>
          <cell r="K17">
            <v>0</v>
          </cell>
        </row>
        <row r="20">
          <cell r="C20">
            <v>1000.37</v>
          </cell>
          <cell r="G20">
            <v>21.03</v>
          </cell>
          <cell r="K20">
            <v>0</v>
          </cell>
        </row>
        <row r="26">
          <cell r="C26">
            <v>355018.33</v>
          </cell>
          <cell r="G26">
            <v>173801.63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0</v>
          </cell>
          <cell r="G34">
            <v>0</v>
          </cell>
          <cell r="K34">
            <v>0</v>
          </cell>
        </row>
        <row r="35">
          <cell r="C35">
            <v>643.72</v>
          </cell>
          <cell r="G35">
            <v>193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818.24</v>
          </cell>
          <cell r="G40">
            <v>917.85</v>
          </cell>
          <cell r="K40">
            <v>0</v>
          </cell>
        </row>
        <row r="41">
          <cell r="C41">
            <v>395009.5</v>
          </cell>
          <cell r="D41">
            <v>0</v>
          </cell>
          <cell r="E41">
            <v>194462.2</v>
          </cell>
          <cell r="G41">
            <v>181677.49</v>
          </cell>
          <cell r="I41">
            <v>2672.81</v>
          </cell>
          <cell r="K41">
            <v>1041.5899999999999</v>
          </cell>
          <cell r="M41">
            <v>0</v>
          </cell>
        </row>
      </sheetData>
      <sheetData sheetId="5">
        <row r="9">
          <cell r="C9">
            <v>199</v>
          </cell>
          <cell r="D9">
            <v>1391</v>
          </cell>
        </row>
        <row r="18">
          <cell r="C18">
            <v>50696</v>
          </cell>
          <cell r="D18">
            <v>269605</v>
          </cell>
          <cell r="E18">
            <v>87891</v>
          </cell>
        </row>
        <row r="19">
          <cell r="C19">
            <v>782</v>
          </cell>
          <cell r="D19">
            <v>4464</v>
          </cell>
          <cell r="E19">
            <v>1562</v>
          </cell>
        </row>
        <row r="20">
          <cell r="C20">
            <v>252</v>
          </cell>
          <cell r="D20">
            <v>157</v>
          </cell>
          <cell r="E20">
            <v>54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25921</v>
          </cell>
          <cell r="D29">
            <v>138676</v>
          </cell>
          <cell r="E29">
            <v>50461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55475</v>
          </cell>
          <cell r="D10">
            <v>37724</v>
          </cell>
          <cell r="F10">
            <v>350</v>
          </cell>
          <cell r="G10">
            <v>11625</v>
          </cell>
          <cell r="H10">
            <v>47</v>
          </cell>
          <cell r="I10">
            <v>2371</v>
          </cell>
        </row>
        <row r="20">
          <cell r="C20">
            <v>608</v>
          </cell>
          <cell r="D20">
            <v>84372</v>
          </cell>
          <cell r="F20">
            <v>4568</v>
          </cell>
          <cell r="G20">
            <v>56637</v>
          </cell>
          <cell r="H20">
            <v>30</v>
          </cell>
          <cell r="I20">
            <v>1387</v>
          </cell>
        </row>
        <row r="24">
          <cell r="C24">
            <v>2180</v>
          </cell>
          <cell r="D24">
            <v>70028</v>
          </cell>
          <cell r="F24">
            <v>276</v>
          </cell>
          <cell r="G24">
            <v>31638</v>
          </cell>
          <cell r="H24">
            <v>160</v>
          </cell>
          <cell r="I24">
            <v>9825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1</v>
          </cell>
          <cell r="D33">
            <v>39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100</v>
          </cell>
          <cell r="D36">
            <v>10963</v>
          </cell>
          <cell r="F36">
            <v>5</v>
          </cell>
          <cell r="G36">
            <v>37</v>
          </cell>
          <cell r="H36">
            <v>2</v>
          </cell>
          <cell r="I36">
            <v>50</v>
          </cell>
        </row>
        <row r="40">
          <cell r="C40">
            <v>3155</v>
          </cell>
          <cell r="D40">
            <v>38883</v>
          </cell>
          <cell r="F40">
            <v>11</v>
          </cell>
          <cell r="G40">
            <v>6610</v>
          </cell>
          <cell r="H40">
            <v>13</v>
          </cell>
          <cell r="I40">
            <v>4599</v>
          </cell>
        </row>
        <row r="56">
          <cell r="C56">
            <v>1644</v>
          </cell>
          <cell r="D56">
            <v>174538</v>
          </cell>
          <cell r="F56">
            <v>87</v>
          </cell>
          <cell r="G56">
            <v>3573</v>
          </cell>
          <cell r="H56">
            <v>37</v>
          </cell>
          <cell r="I56">
            <v>32006</v>
          </cell>
        </row>
        <row r="88">
          <cell r="C88">
            <v>94722</v>
          </cell>
          <cell r="D88">
            <v>540535</v>
          </cell>
          <cell r="F88">
            <v>3125</v>
          </cell>
          <cell r="G88">
            <v>227084</v>
          </cell>
          <cell r="H88">
            <v>1340</v>
          </cell>
          <cell r="I88">
            <v>176531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78</v>
          </cell>
          <cell r="D128">
            <v>358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1515</v>
          </cell>
          <cell r="D132">
            <v>38445</v>
          </cell>
          <cell r="F132">
            <v>2</v>
          </cell>
          <cell r="G132">
            <v>2285</v>
          </cell>
          <cell r="H132">
            <v>36</v>
          </cell>
          <cell r="I132">
            <v>22527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14</v>
          </cell>
          <cell r="D161">
            <v>8491</v>
          </cell>
          <cell r="F161">
            <v>1</v>
          </cell>
          <cell r="G161">
            <v>1923</v>
          </cell>
          <cell r="H161">
            <v>6</v>
          </cell>
          <cell r="I161">
            <v>44706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21990</v>
          </cell>
          <cell r="D170">
            <v>13100</v>
          </cell>
          <cell r="F170">
            <v>118</v>
          </cell>
          <cell r="G170">
            <v>3165</v>
          </cell>
          <cell r="H170">
            <v>51</v>
          </cell>
          <cell r="I170">
            <v>1366</v>
          </cell>
        </row>
        <row r="175">
          <cell r="C175">
            <v>122719</v>
          </cell>
        </row>
      </sheetData>
      <sheetData sheetId="2">
        <row r="11">
          <cell r="C11">
            <v>53985</v>
          </cell>
          <cell r="D11">
            <v>319287</v>
          </cell>
          <cell r="J11">
            <v>2608</v>
          </cell>
          <cell r="K11">
            <v>162119</v>
          </cell>
        </row>
        <row r="12">
          <cell r="C12">
            <v>6519</v>
          </cell>
          <cell r="D12">
            <v>68591</v>
          </cell>
          <cell r="J12">
            <v>331</v>
          </cell>
          <cell r="K12">
            <v>21556</v>
          </cell>
        </row>
        <row r="13">
          <cell r="C13">
            <v>376</v>
          </cell>
          <cell r="D13">
            <v>9107</v>
          </cell>
          <cell r="J13">
            <v>29</v>
          </cell>
          <cell r="K13">
            <v>2994</v>
          </cell>
        </row>
        <row r="14">
          <cell r="C14">
            <v>1199</v>
          </cell>
          <cell r="D14">
            <v>966</v>
          </cell>
          <cell r="J14">
            <v>7</v>
          </cell>
          <cell r="K14">
            <v>615</v>
          </cell>
        </row>
        <row r="15">
          <cell r="C15">
            <v>48</v>
          </cell>
          <cell r="D15">
            <v>156</v>
          </cell>
          <cell r="J15">
            <v>4</v>
          </cell>
          <cell r="K15">
            <v>741</v>
          </cell>
        </row>
        <row r="16">
          <cell r="C16">
            <v>5425</v>
          </cell>
          <cell r="D16">
            <v>9311</v>
          </cell>
          <cell r="J16">
            <v>38</v>
          </cell>
          <cell r="K16">
            <v>2005</v>
          </cell>
        </row>
        <row r="17">
          <cell r="C17">
            <v>1403</v>
          </cell>
          <cell r="D17">
            <v>437</v>
          </cell>
          <cell r="J17">
            <v>1</v>
          </cell>
          <cell r="K17">
            <v>62</v>
          </cell>
        </row>
        <row r="18">
          <cell r="C18">
            <v>261</v>
          </cell>
          <cell r="D18">
            <v>1001</v>
          </cell>
          <cell r="J18">
            <v>4</v>
          </cell>
          <cell r="K18">
            <v>42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22922</v>
          </cell>
          <cell r="D25">
            <v>103963</v>
          </cell>
          <cell r="J25">
            <v>45</v>
          </cell>
          <cell r="K25">
            <v>11075</v>
          </cell>
        </row>
        <row r="26">
          <cell r="C26">
            <v>700</v>
          </cell>
          <cell r="D26">
            <v>11987</v>
          </cell>
          <cell r="J26">
            <v>48</v>
          </cell>
          <cell r="K26">
            <v>17519</v>
          </cell>
        </row>
        <row r="27">
          <cell r="C27">
            <v>91</v>
          </cell>
          <cell r="D27">
            <v>1567</v>
          </cell>
          <cell r="J27">
            <v>4</v>
          </cell>
          <cell r="K27">
            <v>864</v>
          </cell>
        </row>
        <row r="28">
          <cell r="C28">
            <v>5</v>
          </cell>
          <cell r="D28">
            <v>22</v>
          </cell>
          <cell r="J28">
            <v>0</v>
          </cell>
          <cell r="K28">
            <v>0</v>
          </cell>
        </row>
        <row r="29">
          <cell r="C29">
            <v>14</v>
          </cell>
          <cell r="D29">
            <v>78</v>
          </cell>
          <cell r="J29">
            <v>0</v>
          </cell>
          <cell r="K29">
            <v>0</v>
          </cell>
        </row>
        <row r="30">
          <cell r="C30">
            <v>548</v>
          </cell>
          <cell r="D30">
            <v>1009</v>
          </cell>
          <cell r="J30">
            <v>1</v>
          </cell>
          <cell r="K30">
            <v>232</v>
          </cell>
        </row>
        <row r="31">
          <cell r="C31">
            <v>646</v>
          </cell>
          <cell r="D31">
            <v>3560</v>
          </cell>
          <cell r="J31">
            <v>2</v>
          </cell>
          <cell r="K31">
            <v>206</v>
          </cell>
        </row>
        <row r="32">
          <cell r="C32">
            <v>5</v>
          </cell>
          <cell r="D32">
            <v>28</v>
          </cell>
          <cell r="J32">
            <v>0</v>
          </cell>
          <cell r="K32">
            <v>0</v>
          </cell>
        </row>
        <row r="34">
          <cell r="C34">
            <v>286</v>
          </cell>
          <cell r="D34">
            <v>1783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26407</v>
          </cell>
        </row>
        <row r="11">
          <cell r="P11">
            <v>59060</v>
          </cell>
        </row>
        <row r="12">
          <cell r="P12">
            <v>49020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27</v>
          </cell>
        </row>
        <row r="16">
          <cell r="P16">
            <v>7674</v>
          </cell>
        </row>
        <row r="17">
          <cell r="P17">
            <v>27218</v>
          </cell>
        </row>
        <row r="20">
          <cell r="P20">
            <v>122177</v>
          </cell>
        </row>
        <row r="26">
          <cell r="P26">
            <v>415778</v>
          </cell>
        </row>
        <row r="33">
          <cell r="P33">
            <v>0</v>
          </cell>
        </row>
        <row r="34">
          <cell r="P34">
            <v>251</v>
          </cell>
        </row>
        <row r="35">
          <cell r="P35">
            <v>26912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5944</v>
          </cell>
        </row>
        <row r="39">
          <cell r="P39">
            <v>0</v>
          </cell>
        </row>
        <row r="40">
          <cell r="P40">
            <v>9170</v>
          </cell>
        </row>
      </sheetData>
      <sheetData sheetId="5">
        <row r="10">
          <cell r="C10">
            <v>34618</v>
          </cell>
          <cell r="G10">
            <v>11744</v>
          </cell>
          <cell r="K10">
            <v>0</v>
          </cell>
        </row>
        <row r="11">
          <cell r="C11">
            <v>71215</v>
          </cell>
          <cell r="G11">
            <v>9805</v>
          </cell>
          <cell r="K11">
            <v>4273</v>
          </cell>
        </row>
        <row r="12">
          <cell r="C12">
            <v>70763</v>
          </cell>
          <cell r="G12">
            <v>8457</v>
          </cell>
          <cell r="K12">
            <v>2830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1454</v>
          </cell>
          <cell r="G14">
            <v>0</v>
          </cell>
          <cell r="K14">
            <v>0</v>
          </cell>
        </row>
        <row r="15">
          <cell r="C15">
            <v>31</v>
          </cell>
          <cell r="G15">
            <v>0</v>
          </cell>
          <cell r="K15">
            <v>0</v>
          </cell>
        </row>
        <row r="16">
          <cell r="C16">
            <v>3189</v>
          </cell>
          <cell r="G16">
            <v>0</v>
          </cell>
          <cell r="K16">
            <v>0</v>
          </cell>
        </row>
        <row r="17">
          <cell r="C17">
            <v>32077</v>
          </cell>
          <cell r="G17">
            <v>2623</v>
          </cell>
          <cell r="K17">
            <v>0</v>
          </cell>
        </row>
        <row r="20">
          <cell r="C20">
            <v>135317</v>
          </cell>
          <cell r="G20">
            <v>9048</v>
          </cell>
          <cell r="K20">
            <v>0</v>
          </cell>
        </row>
        <row r="26">
          <cell r="C26">
            <v>535881</v>
          </cell>
          <cell r="G26">
            <v>323988</v>
          </cell>
          <cell r="K26">
            <v>0</v>
          </cell>
        </row>
        <row r="33">
          <cell r="C33">
            <v>130</v>
          </cell>
          <cell r="G33">
            <v>0</v>
          </cell>
          <cell r="K33">
            <v>0</v>
          </cell>
        </row>
        <row r="34">
          <cell r="C34">
            <v>346</v>
          </cell>
          <cell r="G34">
            <v>0</v>
          </cell>
          <cell r="K34">
            <v>0</v>
          </cell>
        </row>
        <row r="35">
          <cell r="C35">
            <v>30271</v>
          </cell>
          <cell r="G35">
            <v>6274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6064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6061</v>
          </cell>
          <cell r="G40">
            <v>824</v>
          </cell>
          <cell r="K40">
            <v>0</v>
          </cell>
        </row>
        <row r="41">
          <cell r="C41">
            <v>927417</v>
          </cell>
          <cell r="D41">
            <v>0</v>
          </cell>
          <cell r="E41">
            <v>295368</v>
          </cell>
          <cell r="G41">
            <v>372763</v>
          </cell>
          <cell r="I41">
            <v>11358</v>
          </cell>
          <cell r="K41">
            <v>7103</v>
          </cell>
          <cell r="M41">
            <v>0</v>
          </cell>
        </row>
      </sheetData>
      <sheetData sheetId="6">
        <row r="9">
          <cell r="C9">
            <v>10049</v>
          </cell>
          <cell r="D9">
            <v>124898</v>
          </cell>
        </row>
        <row r="18">
          <cell r="C18">
            <v>49938</v>
          </cell>
          <cell r="D18">
            <v>504310</v>
          </cell>
          <cell r="E18">
            <v>129815</v>
          </cell>
        </row>
        <row r="19">
          <cell r="C19">
            <v>9720</v>
          </cell>
          <cell r="D19">
            <v>54539</v>
          </cell>
          <cell r="E19">
            <v>16956</v>
          </cell>
        </row>
        <row r="20">
          <cell r="C20">
            <v>700</v>
          </cell>
          <cell r="D20">
            <v>400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10</v>
          </cell>
          <cell r="D22">
            <v>65</v>
          </cell>
          <cell r="E22">
            <v>0</v>
          </cell>
        </row>
        <row r="29">
          <cell r="C29">
            <v>52302</v>
          </cell>
          <cell r="D29">
            <v>333264</v>
          </cell>
          <cell r="E29">
            <v>86909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39139</v>
          </cell>
          <cell r="D10">
            <v>24166</v>
          </cell>
          <cell r="F10">
            <v>221</v>
          </cell>
          <cell r="G10">
            <v>8631</v>
          </cell>
          <cell r="H10">
            <v>98</v>
          </cell>
          <cell r="I10">
            <v>1211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3324</v>
          </cell>
          <cell r="D24">
            <v>75808</v>
          </cell>
          <cell r="F24">
            <v>313</v>
          </cell>
          <cell r="G24">
            <v>34304</v>
          </cell>
          <cell r="H24">
            <v>182</v>
          </cell>
          <cell r="I24">
            <v>19915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6</v>
          </cell>
          <cell r="D30">
            <v>1489</v>
          </cell>
          <cell r="F30">
            <v>1</v>
          </cell>
          <cell r="G30">
            <v>433</v>
          </cell>
          <cell r="H30">
            <v>0</v>
          </cell>
          <cell r="I30">
            <v>0</v>
          </cell>
        </row>
        <row r="33">
          <cell r="C33">
            <v>7</v>
          </cell>
          <cell r="D33">
            <v>191</v>
          </cell>
          <cell r="F33">
            <v>0</v>
          </cell>
          <cell r="G33">
            <v>0</v>
          </cell>
          <cell r="H33">
            <v>1</v>
          </cell>
          <cell r="I33">
            <v>36</v>
          </cell>
        </row>
        <row r="36">
          <cell r="C36">
            <v>81</v>
          </cell>
          <cell r="D36">
            <v>1140</v>
          </cell>
          <cell r="F36">
            <v>1</v>
          </cell>
          <cell r="G36">
            <v>93</v>
          </cell>
          <cell r="H36">
            <v>0</v>
          </cell>
          <cell r="I36">
            <v>0</v>
          </cell>
        </row>
        <row r="40">
          <cell r="C40">
            <v>3952</v>
          </cell>
          <cell r="D40">
            <v>36893</v>
          </cell>
          <cell r="F40">
            <v>31</v>
          </cell>
          <cell r="G40">
            <v>2732</v>
          </cell>
          <cell r="H40">
            <v>31</v>
          </cell>
          <cell r="I40">
            <v>17374</v>
          </cell>
        </row>
        <row r="56">
          <cell r="C56">
            <v>1935</v>
          </cell>
          <cell r="D56">
            <v>17129.36</v>
          </cell>
          <cell r="F56">
            <v>64</v>
          </cell>
          <cell r="G56">
            <v>1059</v>
          </cell>
          <cell r="H56">
            <v>12</v>
          </cell>
          <cell r="I56">
            <v>217</v>
          </cell>
        </row>
        <row r="88">
          <cell r="C88">
            <v>57847</v>
          </cell>
          <cell r="D88">
            <v>316300</v>
          </cell>
          <cell r="F88">
            <v>1446</v>
          </cell>
          <cell r="G88">
            <v>90925</v>
          </cell>
          <cell r="H88">
            <v>903</v>
          </cell>
          <cell r="I88">
            <v>172173</v>
          </cell>
        </row>
        <row r="124">
          <cell r="C124">
            <v>28</v>
          </cell>
          <cell r="D124">
            <v>987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96</v>
          </cell>
          <cell r="D128">
            <v>296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2526</v>
          </cell>
          <cell r="D132">
            <v>14054</v>
          </cell>
          <cell r="F132">
            <v>27</v>
          </cell>
          <cell r="G132">
            <v>368</v>
          </cell>
          <cell r="H132">
            <v>32</v>
          </cell>
          <cell r="I132">
            <v>5769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15112</v>
          </cell>
          <cell r="D170">
            <v>12424</v>
          </cell>
          <cell r="F170">
            <v>85</v>
          </cell>
          <cell r="G170">
            <v>1512</v>
          </cell>
          <cell r="H170">
            <v>151</v>
          </cell>
          <cell r="I170">
            <v>4796</v>
          </cell>
        </row>
        <row r="175">
          <cell r="C175">
            <v>82512</v>
          </cell>
        </row>
      </sheetData>
      <sheetData sheetId="2">
        <row r="11">
          <cell r="C11">
            <v>32612</v>
          </cell>
          <cell r="D11">
            <v>182707</v>
          </cell>
          <cell r="J11">
            <v>1181</v>
          </cell>
          <cell r="K11">
            <v>69405</v>
          </cell>
        </row>
        <row r="12">
          <cell r="C12">
            <v>3457</v>
          </cell>
          <cell r="D12">
            <v>38459</v>
          </cell>
          <cell r="J12">
            <v>143</v>
          </cell>
          <cell r="K12">
            <v>10024</v>
          </cell>
        </row>
        <row r="13">
          <cell r="C13">
            <v>297</v>
          </cell>
          <cell r="D13">
            <v>6188</v>
          </cell>
          <cell r="J13">
            <v>15</v>
          </cell>
          <cell r="K13">
            <v>949</v>
          </cell>
        </row>
        <row r="14">
          <cell r="C14">
            <v>1628</v>
          </cell>
          <cell r="D14">
            <v>1370</v>
          </cell>
          <cell r="J14">
            <v>12</v>
          </cell>
          <cell r="K14">
            <v>268</v>
          </cell>
        </row>
        <row r="15">
          <cell r="C15">
            <v>154</v>
          </cell>
          <cell r="D15">
            <v>515</v>
          </cell>
          <cell r="J15">
            <v>11</v>
          </cell>
          <cell r="K15">
            <v>693</v>
          </cell>
        </row>
        <row r="16">
          <cell r="C16">
            <v>4009</v>
          </cell>
          <cell r="D16">
            <v>6453</v>
          </cell>
          <cell r="J16">
            <v>16</v>
          </cell>
          <cell r="K16">
            <v>1013</v>
          </cell>
        </row>
        <row r="17">
          <cell r="C17">
            <v>1164</v>
          </cell>
          <cell r="D17">
            <v>383</v>
          </cell>
          <cell r="J17">
            <v>1</v>
          </cell>
          <cell r="K17">
            <v>33</v>
          </cell>
        </row>
        <row r="18">
          <cell r="C18">
            <v>207</v>
          </cell>
          <cell r="D18">
            <v>799</v>
          </cell>
          <cell r="J18">
            <v>21</v>
          </cell>
          <cell r="K18">
            <v>1338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12453</v>
          </cell>
          <cell r="D25">
            <v>58813</v>
          </cell>
          <cell r="J25">
            <v>20</v>
          </cell>
          <cell r="K25">
            <v>3969</v>
          </cell>
        </row>
        <row r="26">
          <cell r="C26">
            <v>576</v>
          </cell>
          <cell r="D26">
            <v>9148</v>
          </cell>
          <cell r="J26">
            <v>20</v>
          </cell>
          <cell r="K26">
            <v>2425</v>
          </cell>
        </row>
        <row r="27">
          <cell r="C27">
            <v>87</v>
          </cell>
          <cell r="D27">
            <v>1464</v>
          </cell>
          <cell r="J27">
            <v>1</v>
          </cell>
          <cell r="K27">
            <v>101</v>
          </cell>
        </row>
        <row r="28">
          <cell r="C28">
            <v>4</v>
          </cell>
          <cell r="D28">
            <v>46</v>
          </cell>
          <cell r="J28">
            <v>0</v>
          </cell>
          <cell r="K28">
            <v>0</v>
          </cell>
        </row>
        <row r="29">
          <cell r="C29">
            <v>12</v>
          </cell>
          <cell r="D29">
            <v>66</v>
          </cell>
          <cell r="J29">
            <v>0</v>
          </cell>
          <cell r="K29">
            <v>0</v>
          </cell>
        </row>
        <row r="30">
          <cell r="C30">
            <v>363</v>
          </cell>
          <cell r="D30">
            <v>651</v>
          </cell>
          <cell r="J30">
            <v>0</v>
          </cell>
          <cell r="K30">
            <v>0</v>
          </cell>
        </row>
        <row r="31">
          <cell r="C31">
            <v>514</v>
          </cell>
          <cell r="D31">
            <v>2730</v>
          </cell>
          <cell r="J31">
            <v>3</v>
          </cell>
          <cell r="K31">
            <v>192</v>
          </cell>
        </row>
        <row r="32">
          <cell r="C32">
            <v>3</v>
          </cell>
          <cell r="D32">
            <v>17</v>
          </cell>
          <cell r="J32">
            <v>0</v>
          </cell>
          <cell r="K32">
            <v>0</v>
          </cell>
        </row>
        <row r="34">
          <cell r="C34">
            <v>52</v>
          </cell>
          <cell r="D34">
            <v>328</v>
          </cell>
          <cell r="J34">
            <v>1</v>
          </cell>
          <cell r="K34">
            <v>121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2</v>
          </cell>
          <cell r="D39">
            <v>20</v>
          </cell>
          <cell r="J39">
            <v>0</v>
          </cell>
          <cell r="K39">
            <v>0</v>
          </cell>
        </row>
        <row r="40">
          <cell r="C40">
            <v>6</v>
          </cell>
          <cell r="D40">
            <v>7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17334</v>
          </cell>
        </row>
        <row r="11">
          <cell r="P11">
            <v>0</v>
          </cell>
        </row>
        <row r="12">
          <cell r="P12">
            <v>48321</v>
          </cell>
        </row>
        <row r="13">
          <cell r="P13">
            <v>0</v>
          </cell>
        </row>
        <row r="14">
          <cell r="P14">
            <v>1042</v>
          </cell>
        </row>
        <row r="15">
          <cell r="P15">
            <v>134</v>
          </cell>
        </row>
        <row r="16">
          <cell r="P16">
            <v>838</v>
          </cell>
        </row>
        <row r="17">
          <cell r="P17">
            <v>23981</v>
          </cell>
        </row>
        <row r="20">
          <cell r="P20">
            <v>11991</v>
          </cell>
        </row>
        <row r="26">
          <cell r="P26">
            <v>234327</v>
          </cell>
        </row>
        <row r="33">
          <cell r="P33">
            <v>740</v>
          </cell>
        </row>
        <row r="34">
          <cell r="P34">
            <v>192</v>
          </cell>
        </row>
        <row r="35">
          <cell r="P35">
            <v>9838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6757</v>
          </cell>
        </row>
      </sheetData>
      <sheetData sheetId="5">
        <row r="10">
          <cell r="C10">
            <v>22515</v>
          </cell>
          <cell r="G10">
            <v>10787.59</v>
          </cell>
          <cell r="K10">
            <v>0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77290</v>
          </cell>
          <cell r="G12">
            <v>11860.42</v>
          </cell>
          <cell r="K12">
            <v>6137.15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1088</v>
          </cell>
          <cell r="G14">
            <v>0</v>
          </cell>
          <cell r="K14">
            <v>0</v>
          </cell>
        </row>
        <row r="15">
          <cell r="C15">
            <v>211</v>
          </cell>
          <cell r="G15">
            <v>0</v>
          </cell>
          <cell r="K15">
            <v>0</v>
          </cell>
        </row>
        <row r="16">
          <cell r="C16">
            <v>129.68</v>
          </cell>
          <cell r="G16">
            <v>0</v>
          </cell>
          <cell r="K16">
            <v>0</v>
          </cell>
        </row>
        <row r="17">
          <cell r="C17">
            <v>38863</v>
          </cell>
          <cell r="G17">
            <v>14842</v>
          </cell>
          <cell r="K17">
            <v>0</v>
          </cell>
        </row>
        <row r="20">
          <cell r="C20">
            <v>17041.32</v>
          </cell>
          <cell r="G20">
            <v>185.16</v>
          </cell>
          <cell r="K20">
            <v>0</v>
          </cell>
        </row>
        <row r="26">
          <cell r="C26">
            <v>318106.5</v>
          </cell>
          <cell r="G26">
            <v>261033</v>
          </cell>
          <cell r="K26">
            <v>0</v>
          </cell>
        </row>
        <row r="33">
          <cell r="C33">
            <v>1189</v>
          </cell>
          <cell r="G33">
            <v>0</v>
          </cell>
          <cell r="K33">
            <v>0</v>
          </cell>
        </row>
        <row r="34">
          <cell r="C34">
            <v>315</v>
          </cell>
          <cell r="G34">
            <v>0</v>
          </cell>
          <cell r="K34">
            <v>0</v>
          </cell>
        </row>
        <row r="35">
          <cell r="C35">
            <v>13381</v>
          </cell>
          <cell r="G35">
            <v>10770.67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6011</v>
          </cell>
          <cell r="G40">
            <v>4624.5600000000004</v>
          </cell>
          <cell r="K40">
            <v>0</v>
          </cell>
        </row>
        <row r="41">
          <cell r="C41">
            <v>496140.5</v>
          </cell>
          <cell r="D41">
            <v>3006.57</v>
          </cell>
          <cell r="E41">
            <v>221491</v>
          </cell>
          <cell r="G41">
            <v>314103.40000000002</v>
          </cell>
          <cell r="I41">
            <v>9662.25</v>
          </cell>
          <cell r="K41">
            <v>6137.15</v>
          </cell>
          <cell r="M41">
            <v>40794.61</v>
          </cell>
        </row>
      </sheetData>
      <sheetData sheetId="6">
        <row r="9">
          <cell r="C9">
            <v>54171</v>
          </cell>
          <cell r="D9">
            <v>326993</v>
          </cell>
        </row>
        <row r="18">
          <cell r="C18">
            <v>18616</v>
          </cell>
          <cell r="D18">
            <v>123080</v>
          </cell>
          <cell r="E18">
            <v>34449.67</v>
          </cell>
        </row>
        <row r="19">
          <cell r="C19">
            <v>2085</v>
          </cell>
          <cell r="D19">
            <v>11494</v>
          </cell>
          <cell r="E19">
            <v>3938.26</v>
          </cell>
        </row>
        <row r="20">
          <cell r="C20">
            <v>555</v>
          </cell>
          <cell r="D20">
            <v>474</v>
          </cell>
          <cell r="E20">
            <v>129.59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678</v>
          </cell>
          <cell r="D22">
            <v>1505</v>
          </cell>
          <cell r="E22">
            <v>0</v>
          </cell>
        </row>
        <row r="29">
          <cell r="C29">
            <v>6407</v>
          </cell>
          <cell r="D29">
            <v>37331</v>
          </cell>
          <cell r="E29">
            <v>7783.85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31677</v>
          </cell>
          <cell r="D10">
            <v>43198</v>
          </cell>
          <cell r="F10">
            <v>374</v>
          </cell>
          <cell r="G10">
            <v>21189.759999999998</v>
          </cell>
          <cell r="H10">
            <v>79</v>
          </cell>
          <cell r="I10">
            <v>6505.09</v>
          </cell>
        </row>
        <row r="20">
          <cell r="C20">
            <v>5604</v>
          </cell>
          <cell r="D20">
            <v>109465.64</v>
          </cell>
          <cell r="F20">
            <v>4426</v>
          </cell>
          <cell r="G20">
            <v>45306.26</v>
          </cell>
          <cell r="H20">
            <v>264</v>
          </cell>
          <cell r="I20">
            <v>6117.7</v>
          </cell>
        </row>
        <row r="24">
          <cell r="C24">
            <v>2677</v>
          </cell>
          <cell r="D24">
            <v>85061.46</v>
          </cell>
          <cell r="F24">
            <v>315</v>
          </cell>
          <cell r="G24">
            <v>30999</v>
          </cell>
          <cell r="H24">
            <v>172</v>
          </cell>
          <cell r="I24">
            <v>30500.03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5</v>
          </cell>
          <cell r="D33">
            <v>157.21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145</v>
          </cell>
          <cell r="D36">
            <v>1678.33</v>
          </cell>
          <cell r="F36">
            <v>0</v>
          </cell>
          <cell r="G36">
            <v>2.0099999999999998</v>
          </cell>
          <cell r="H36">
            <v>1</v>
          </cell>
          <cell r="I36">
            <v>51.13</v>
          </cell>
        </row>
        <row r="40">
          <cell r="C40">
            <v>4525</v>
          </cell>
          <cell r="D40">
            <v>59816.99</v>
          </cell>
          <cell r="F40">
            <v>20</v>
          </cell>
          <cell r="G40">
            <v>987.13</v>
          </cell>
          <cell r="H40">
            <v>20</v>
          </cell>
          <cell r="I40">
            <v>4361.49</v>
          </cell>
        </row>
        <row r="56">
          <cell r="C56">
            <v>4705</v>
          </cell>
          <cell r="D56">
            <v>88249.3</v>
          </cell>
          <cell r="F56">
            <v>47</v>
          </cell>
          <cell r="G56">
            <v>1498.96</v>
          </cell>
          <cell r="H56">
            <v>47</v>
          </cell>
          <cell r="I56">
            <v>5942.25</v>
          </cell>
        </row>
        <row r="88">
          <cell r="C88">
            <v>34155</v>
          </cell>
          <cell r="D88">
            <v>198557.03</v>
          </cell>
          <cell r="F88">
            <v>997</v>
          </cell>
          <cell r="G88">
            <v>105034.47</v>
          </cell>
          <cell r="H88">
            <v>671</v>
          </cell>
          <cell r="I88">
            <v>174407.87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55</v>
          </cell>
          <cell r="D128">
            <v>256.08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2158</v>
          </cell>
          <cell r="D132">
            <v>19632.63</v>
          </cell>
          <cell r="F132">
            <v>4</v>
          </cell>
          <cell r="G132">
            <v>17.38</v>
          </cell>
          <cell r="H132">
            <v>8</v>
          </cell>
          <cell r="I132">
            <v>17155.79</v>
          </cell>
        </row>
        <row r="153">
          <cell r="C153">
            <v>2792</v>
          </cell>
          <cell r="D153">
            <v>62166.02</v>
          </cell>
          <cell r="F153">
            <v>8</v>
          </cell>
          <cell r="G153">
            <v>329.52</v>
          </cell>
          <cell r="H153">
            <v>11</v>
          </cell>
          <cell r="I153">
            <v>3084.32</v>
          </cell>
        </row>
        <row r="158">
          <cell r="C158">
            <v>2</v>
          </cell>
          <cell r="D158">
            <v>73.8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35</v>
          </cell>
          <cell r="D161">
            <v>4939.0600000000004</v>
          </cell>
          <cell r="F161">
            <v>1</v>
          </cell>
          <cell r="G161">
            <v>23.05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11959</v>
          </cell>
          <cell r="D170">
            <v>10345.39</v>
          </cell>
          <cell r="F170">
            <v>98</v>
          </cell>
          <cell r="G170">
            <v>3224.97</v>
          </cell>
          <cell r="H170">
            <v>93</v>
          </cell>
          <cell r="I170">
            <v>2685.94</v>
          </cell>
        </row>
        <row r="175">
          <cell r="C175">
            <v>71783</v>
          </cell>
        </row>
      </sheetData>
      <sheetData sheetId="2">
        <row r="11">
          <cell r="C11">
            <v>17966</v>
          </cell>
          <cell r="D11">
            <v>104776.84</v>
          </cell>
          <cell r="J11">
            <v>797</v>
          </cell>
          <cell r="K11">
            <v>68041.179999999993</v>
          </cell>
        </row>
        <row r="12">
          <cell r="C12">
            <v>2236</v>
          </cell>
          <cell r="D12">
            <v>26873.52</v>
          </cell>
          <cell r="J12">
            <v>117</v>
          </cell>
          <cell r="K12">
            <v>7780.57</v>
          </cell>
        </row>
        <row r="13">
          <cell r="C13">
            <v>111</v>
          </cell>
          <cell r="D13">
            <v>2197.39</v>
          </cell>
          <cell r="J13">
            <v>7</v>
          </cell>
          <cell r="K13">
            <v>381.13</v>
          </cell>
        </row>
        <row r="14">
          <cell r="C14">
            <v>845</v>
          </cell>
          <cell r="D14">
            <v>682.54</v>
          </cell>
          <cell r="J14">
            <v>1</v>
          </cell>
          <cell r="K14">
            <v>9.16</v>
          </cell>
        </row>
        <row r="15">
          <cell r="C15">
            <v>33</v>
          </cell>
          <cell r="D15">
            <v>118.7</v>
          </cell>
          <cell r="J15">
            <v>0</v>
          </cell>
          <cell r="K15">
            <v>0</v>
          </cell>
        </row>
        <row r="16">
          <cell r="C16">
            <v>1750</v>
          </cell>
          <cell r="D16">
            <v>3170.06</v>
          </cell>
          <cell r="J16">
            <v>10</v>
          </cell>
          <cell r="K16">
            <v>1037.8900000000001</v>
          </cell>
        </row>
        <row r="17">
          <cell r="C17">
            <v>779</v>
          </cell>
          <cell r="D17">
            <v>238.3</v>
          </cell>
          <cell r="J17">
            <v>1</v>
          </cell>
          <cell r="K17">
            <v>268.07</v>
          </cell>
        </row>
        <row r="18">
          <cell r="C18">
            <v>93</v>
          </cell>
          <cell r="D18">
            <v>333.27</v>
          </cell>
          <cell r="J18">
            <v>1</v>
          </cell>
          <cell r="K18">
            <v>12.16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7306</v>
          </cell>
          <cell r="D25">
            <v>37172.75</v>
          </cell>
          <cell r="J25">
            <v>30</v>
          </cell>
          <cell r="K25">
            <v>9590.61</v>
          </cell>
        </row>
        <row r="26">
          <cell r="C26">
            <v>428</v>
          </cell>
          <cell r="D26">
            <v>7340.26</v>
          </cell>
          <cell r="J26">
            <v>26</v>
          </cell>
          <cell r="K26">
            <v>15578.88</v>
          </cell>
        </row>
        <row r="27">
          <cell r="C27">
            <v>56</v>
          </cell>
          <cell r="D27">
            <v>964.43</v>
          </cell>
          <cell r="J27">
            <v>3</v>
          </cell>
          <cell r="K27">
            <v>442.2</v>
          </cell>
        </row>
        <row r="28">
          <cell r="C28">
            <v>8</v>
          </cell>
          <cell r="D28">
            <v>44.29</v>
          </cell>
          <cell r="J28">
            <v>0</v>
          </cell>
          <cell r="K28">
            <v>0</v>
          </cell>
        </row>
        <row r="29">
          <cell r="C29">
            <v>9</v>
          </cell>
          <cell r="D29">
            <v>49.82</v>
          </cell>
          <cell r="J29">
            <v>0</v>
          </cell>
          <cell r="K29">
            <v>0</v>
          </cell>
        </row>
        <row r="30">
          <cell r="C30">
            <v>188</v>
          </cell>
          <cell r="D30">
            <v>347.8</v>
          </cell>
          <cell r="J30">
            <v>0</v>
          </cell>
          <cell r="K30">
            <v>2.36</v>
          </cell>
        </row>
        <row r="31">
          <cell r="C31">
            <v>369</v>
          </cell>
          <cell r="D31">
            <v>2042.78</v>
          </cell>
          <cell r="J31">
            <v>2</v>
          </cell>
          <cell r="K31">
            <v>111.46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1361</v>
          </cell>
          <cell r="D34">
            <v>4865.34</v>
          </cell>
          <cell r="J34">
            <v>1</v>
          </cell>
          <cell r="K34">
            <v>90</v>
          </cell>
        </row>
        <row r="35">
          <cell r="C35">
            <v>20</v>
          </cell>
          <cell r="D35">
            <v>242.99</v>
          </cell>
          <cell r="J35">
            <v>0</v>
          </cell>
          <cell r="K35">
            <v>0</v>
          </cell>
        </row>
        <row r="36">
          <cell r="C36">
            <v>4</v>
          </cell>
          <cell r="D36">
            <v>71.55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6</v>
          </cell>
          <cell r="D38">
            <v>14.8</v>
          </cell>
          <cell r="J38">
            <v>0</v>
          </cell>
          <cell r="K38">
            <v>0</v>
          </cell>
        </row>
        <row r="39">
          <cell r="C39">
            <v>201</v>
          </cell>
          <cell r="D39">
            <v>653.87</v>
          </cell>
          <cell r="J39">
            <v>0</v>
          </cell>
          <cell r="K39">
            <v>0</v>
          </cell>
        </row>
        <row r="40">
          <cell r="C40">
            <v>137</v>
          </cell>
          <cell r="D40">
            <v>245.03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30800.18</v>
          </cell>
        </row>
        <row r="11">
          <cell r="P11">
            <v>77720.600000000006</v>
          </cell>
        </row>
        <row r="12">
          <cell r="P12">
            <v>58267.1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130.47999999999999</v>
          </cell>
        </row>
        <row r="16">
          <cell r="P16">
            <v>1393.01</v>
          </cell>
        </row>
        <row r="17">
          <cell r="P17">
            <v>34693.86</v>
          </cell>
        </row>
        <row r="20">
          <cell r="P20">
            <v>59127.03</v>
          </cell>
        </row>
        <row r="26">
          <cell r="P26">
            <v>152730.07</v>
          </cell>
        </row>
        <row r="33">
          <cell r="P33">
            <v>0</v>
          </cell>
        </row>
        <row r="34">
          <cell r="P34">
            <v>212.55</v>
          </cell>
        </row>
        <row r="35">
          <cell r="P35">
            <v>15484.26</v>
          </cell>
        </row>
        <row r="36">
          <cell r="P36">
            <v>46624.52</v>
          </cell>
        </row>
        <row r="37">
          <cell r="P37">
            <v>58.21</v>
          </cell>
        </row>
        <row r="38">
          <cell r="P38">
            <v>3895.44</v>
          </cell>
        </row>
        <row r="39">
          <cell r="P39">
            <v>0</v>
          </cell>
        </row>
        <row r="40">
          <cell r="P40">
            <v>6207.23</v>
          </cell>
        </row>
      </sheetData>
      <sheetData sheetId="5">
        <row r="10">
          <cell r="C10">
            <v>41251.57</v>
          </cell>
          <cell r="G10">
            <v>21453.39</v>
          </cell>
          <cell r="K10">
            <v>0</v>
          </cell>
        </row>
        <row r="11">
          <cell r="C11">
            <v>82243.460000000006</v>
          </cell>
          <cell r="G11">
            <v>2208.9299999999998</v>
          </cell>
          <cell r="K11">
            <v>0</v>
          </cell>
        </row>
        <row r="12">
          <cell r="C12">
            <v>89006.16</v>
          </cell>
          <cell r="G12">
            <v>18444</v>
          </cell>
          <cell r="K12">
            <v>13179.24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166.81</v>
          </cell>
          <cell r="G15">
            <v>0</v>
          </cell>
          <cell r="K15">
            <v>0</v>
          </cell>
        </row>
        <row r="16">
          <cell r="C16">
            <v>1147.03</v>
          </cell>
          <cell r="G16">
            <v>343</v>
          </cell>
          <cell r="K16">
            <v>0</v>
          </cell>
        </row>
        <row r="17">
          <cell r="C17">
            <v>56417.3</v>
          </cell>
          <cell r="G17">
            <v>1927.36</v>
          </cell>
          <cell r="K17">
            <v>0</v>
          </cell>
        </row>
        <row r="20">
          <cell r="C20">
            <v>75376.7</v>
          </cell>
          <cell r="G20">
            <v>4401.3100000000004</v>
          </cell>
          <cell r="K20">
            <v>0</v>
          </cell>
        </row>
        <row r="26">
          <cell r="C26">
            <v>199016.59</v>
          </cell>
          <cell r="G26">
            <v>206443.45</v>
          </cell>
          <cell r="K26">
            <v>9722.75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266.27999999999997</v>
          </cell>
          <cell r="G34">
            <v>0</v>
          </cell>
          <cell r="K34">
            <v>0</v>
          </cell>
        </row>
        <row r="35">
          <cell r="C35">
            <v>20077.27</v>
          </cell>
          <cell r="G35">
            <v>2120</v>
          </cell>
          <cell r="K35">
            <v>0</v>
          </cell>
        </row>
        <row r="36">
          <cell r="C36">
            <v>176312.62</v>
          </cell>
          <cell r="G36">
            <v>410</v>
          </cell>
          <cell r="K36">
            <v>0</v>
          </cell>
        </row>
        <row r="37">
          <cell r="C37">
            <v>72.489999999999995</v>
          </cell>
          <cell r="G37">
            <v>0</v>
          </cell>
          <cell r="K37">
            <v>0</v>
          </cell>
        </row>
        <row r="38">
          <cell r="C38">
            <v>6142.4</v>
          </cell>
          <cell r="G38">
            <v>25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6896.56</v>
          </cell>
          <cell r="G40">
            <v>975</v>
          </cell>
          <cell r="K40">
            <v>0</v>
          </cell>
        </row>
        <row r="41">
          <cell r="C41">
            <v>754393.24</v>
          </cell>
          <cell r="D41">
            <v>2880.87</v>
          </cell>
          <cell r="E41">
            <v>250811.61</v>
          </cell>
          <cell r="G41">
            <v>258751.44</v>
          </cell>
          <cell r="I41">
            <v>14576.21</v>
          </cell>
          <cell r="K41">
            <v>22901.99</v>
          </cell>
          <cell r="M41">
            <v>0</v>
          </cell>
        </row>
      </sheetData>
      <sheetData sheetId="6">
        <row r="9">
          <cell r="C9">
            <v>3368</v>
          </cell>
          <cell r="D9">
            <v>60088.28</v>
          </cell>
        </row>
        <row r="18">
          <cell r="C18">
            <v>7136</v>
          </cell>
          <cell r="D18">
            <v>89818.98</v>
          </cell>
          <cell r="E18">
            <v>24777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74</v>
          </cell>
          <cell r="D20">
            <v>40.74</v>
          </cell>
          <cell r="E20">
            <v>8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24188</v>
          </cell>
          <cell r="D22">
            <v>287056.32</v>
          </cell>
          <cell r="E22">
            <v>33957</v>
          </cell>
        </row>
        <row r="29">
          <cell r="C29">
            <v>37017</v>
          </cell>
          <cell r="D29">
            <v>246592.61</v>
          </cell>
          <cell r="E29">
            <v>874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workbookViewId="0">
      <selection activeCell="R10" sqref="R10"/>
    </sheetView>
  </sheetViews>
  <sheetFormatPr defaultRowHeight="15" x14ac:dyDescent="0.25"/>
  <cols>
    <col min="1" max="1" width="3.85546875" customWidth="1"/>
    <col min="2" max="2" width="28.28515625" customWidth="1"/>
    <col min="3" max="3" width="11" bestFit="1" customWidth="1"/>
    <col min="4" max="4" width="9.5703125" bestFit="1" customWidth="1"/>
    <col min="8" max="8" width="9.85546875" bestFit="1" customWidth="1"/>
    <col min="10" max="10" width="10.28515625" bestFit="1" customWidth="1"/>
    <col min="14" max="14" width="9.85546875" bestFit="1" customWidth="1"/>
  </cols>
  <sheetData>
    <row r="1" spans="1:14" ht="24.75" customHeight="1" thickBot="1" x14ac:dyDescent="0.3">
      <c r="A1" s="151"/>
      <c r="B1" s="152"/>
      <c r="C1" s="422" t="s">
        <v>97</v>
      </c>
      <c r="D1" s="423"/>
      <c r="E1" s="423"/>
      <c r="F1" s="423"/>
      <c r="G1" s="423"/>
      <c r="H1" s="423"/>
      <c r="I1" s="423"/>
      <c r="J1" s="2"/>
      <c r="K1" s="2"/>
      <c r="L1" s="2"/>
      <c r="M1" s="2"/>
      <c r="N1" s="151" t="s">
        <v>35</v>
      </c>
    </row>
    <row r="2" spans="1:14" x14ac:dyDescent="0.25">
      <c r="A2" s="424" t="s">
        <v>0</v>
      </c>
      <c r="B2" s="426" t="s">
        <v>1</v>
      </c>
      <c r="C2" s="444" t="s">
        <v>2</v>
      </c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36" t="s">
        <v>3</v>
      </c>
    </row>
    <row r="3" spans="1:14" ht="15.75" thickBot="1" x14ac:dyDescent="0.3">
      <c r="A3" s="425"/>
      <c r="B3" s="427"/>
      <c r="C3" s="228" t="s">
        <v>68</v>
      </c>
      <c r="D3" s="227" t="s">
        <v>4</v>
      </c>
      <c r="E3" s="293" t="s">
        <v>5</v>
      </c>
      <c r="F3" s="298" t="s">
        <v>6</v>
      </c>
      <c r="G3" s="308" t="s">
        <v>8</v>
      </c>
      <c r="H3" s="312" t="s">
        <v>93</v>
      </c>
      <c r="I3" s="317" t="s">
        <v>96</v>
      </c>
      <c r="J3" s="316" t="s">
        <v>9</v>
      </c>
      <c r="K3" s="317" t="s">
        <v>92</v>
      </c>
      <c r="L3" s="316" t="s">
        <v>10</v>
      </c>
      <c r="M3" s="321" t="s">
        <v>95</v>
      </c>
      <c r="N3" s="437"/>
    </row>
    <row r="4" spans="1:14" x14ac:dyDescent="0.25">
      <c r="A4" s="5">
        <v>1</v>
      </c>
      <c r="B4" s="9" t="s">
        <v>11</v>
      </c>
      <c r="C4" s="142">
        <f>[1]STA_SP1_NO!$D$10</f>
        <v>84393.56</v>
      </c>
      <c r="D4" s="118">
        <f>[2]STA_SP1_NO!$D$10</f>
        <v>102787.42</v>
      </c>
      <c r="E4" s="294">
        <f>[3]STA_SP1_NO!$D$10</f>
        <v>14546</v>
      </c>
      <c r="F4" s="297">
        <f>[4]STA_SP1_NO!$D$10</f>
        <v>44456.31</v>
      </c>
      <c r="G4" s="309">
        <f>[5]STA_SP1_NO!$D$10</f>
        <v>71421</v>
      </c>
      <c r="H4" s="313">
        <f>[6]STA_SP1_NO!$D$10</f>
        <v>22371.03</v>
      </c>
      <c r="I4" s="318">
        <f>[7]STA_SP1_NO!$D$10</f>
        <v>37724</v>
      </c>
      <c r="J4" s="118">
        <f>[8]STA_SP1_NO!$D$10</f>
        <v>24166</v>
      </c>
      <c r="K4" s="318">
        <f>[9]STA_SP1_NO!$D$10</f>
        <v>43198</v>
      </c>
      <c r="L4" s="144">
        <f>[10]STA_SP1_NO!$D$10</f>
        <v>75887</v>
      </c>
      <c r="M4" s="148">
        <f>[11]STA_SP1_NO!$D$10</f>
        <v>0</v>
      </c>
      <c r="N4" s="229">
        <f t="shared" ref="N4:N22" si="0">SUM(C4:M4)</f>
        <v>520950.31999999995</v>
      </c>
    </row>
    <row r="5" spans="1:14" x14ac:dyDescent="0.25">
      <c r="A5" s="4">
        <v>2</v>
      </c>
      <c r="B5" s="10" t="s">
        <v>12</v>
      </c>
      <c r="C5" s="146">
        <f>[1]STA_SP1_NO!$D$20</f>
        <v>164378.42000000001</v>
      </c>
      <c r="D5" s="118">
        <f>[2]STA_SP1_NO!$D$20</f>
        <v>182629.21</v>
      </c>
      <c r="E5" s="294">
        <f>[3]STA_SP1_NO!$D$20</f>
        <v>21495</v>
      </c>
      <c r="F5" s="296">
        <f>[4]STA_SP1_NO!$D$20</f>
        <v>84448.59</v>
      </c>
      <c r="G5" s="310">
        <f>[5]STA_SP1_NO!$D$20</f>
        <v>141322</v>
      </c>
      <c r="H5" s="313">
        <f>[6]STA_SP1_NO!$D$20</f>
        <v>0</v>
      </c>
      <c r="I5" s="318">
        <f>[7]STA_SP1_NO!$D$20</f>
        <v>84372</v>
      </c>
      <c r="J5" s="118">
        <f>[8]STA_SP1_NO!$D$20</f>
        <v>0</v>
      </c>
      <c r="K5" s="318">
        <f>[9]STA_SP1_NO!$D$20</f>
        <v>109465.64</v>
      </c>
      <c r="L5" s="144">
        <f>[10]STA_SP1_NO!$D$20</f>
        <v>210980</v>
      </c>
      <c r="M5" s="148">
        <f>[11]STA_SP1_NO!$D$20</f>
        <v>0</v>
      </c>
      <c r="N5" s="229">
        <f t="shared" si="0"/>
        <v>999090.86</v>
      </c>
    </row>
    <row r="6" spans="1:14" x14ac:dyDescent="0.25">
      <c r="A6" s="4">
        <v>3</v>
      </c>
      <c r="B6" s="10" t="s">
        <v>13</v>
      </c>
      <c r="C6" s="146">
        <f>[1]STA_SP1_NO!$D$24</f>
        <v>97394.86</v>
      </c>
      <c r="D6" s="118">
        <f>[2]STA_SP1_NO!$D$24</f>
        <v>100734.91</v>
      </c>
      <c r="E6" s="294">
        <f>[3]STA_SP1_NO!$D$24</f>
        <v>45179</v>
      </c>
      <c r="F6" s="296">
        <f>[4]STA_SP1_NO!$D$24</f>
        <v>145883.45000000001</v>
      </c>
      <c r="G6" s="310">
        <f>[5]STA_SP1_NO!$D$24</f>
        <v>84932</v>
      </c>
      <c r="H6" s="313">
        <f>[6]STA_SP1_NO!$D$24</f>
        <v>12919.19</v>
      </c>
      <c r="I6" s="318">
        <f>[7]STA_SP1_NO!$D$24</f>
        <v>70028</v>
      </c>
      <c r="J6" s="118">
        <f>[8]STA_SP1_NO!$D$24</f>
        <v>75808</v>
      </c>
      <c r="K6" s="318">
        <f>[9]STA_SP1_NO!$D$24</f>
        <v>85061.46</v>
      </c>
      <c r="L6" s="144">
        <f>[10]STA_SP1_NO!$D$24</f>
        <v>91536</v>
      </c>
      <c r="M6" s="148">
        <f>[11]STA_SP1_NO!$D$24</f>
        <v>0</v>
      </c>
      <c r="N6" s="229">
        <f t="shared" si="0"/>
        <v>809476.87</v>
      </c>
    </row>
    <row r="7" spans="1:14" x14ac:dyDescent="0.25">
      <c r="A7" s="4">
        <v>4</v>
      </c>
      <c r="B7" s="10" t="s">
        <v>14</v>
      </c>
      <c r="C7" s="146">
        <f>[1]STA_SP1_NO!$D$27</f>
        <v>0</v>
      </c>
      <c r="D7" s="118">
        <f>[2]STA_SP1_NO!$D$27</f>
        <v>0</v>
      </c>
      <c r="E7" s="294">
        <f>[3]STA_SP1_NO!$D$27</f>
        <v>0</v>
      </c>
      <c r="F7" s="296">
        <f>[4]STA_SP1_NO!$D$27</f>
        <v>0</v>
      </c>
      <c r="G7" s="310">
        <f>[5]STA_SP1_NO!$D$27</f>
        <v>0</v>
      </c>
      <c r="H7" s="313">
        <f>[6]STA_SP1_NO!$D$27</f>
        <v>0</v>
      </c>
      <c r="I7" s="318">
        <f>[7]STA_SP1_NO!$D$27</f>
        <v>0</v>
      </c>
      <c r="J7" s="118">
        <f>[8]STA_SP1_NO!$D$27</f>
        <v>0</v>
      </c>
      <c r="K7" s="318">
        <f>[9]STA_SP1_NO!$D$27</f>
        <v>0</v>
      </c>
      <c r="L7" s="144">
        <f>[10]STA_SP1_NO!$D$27</f>
        <v>0</v>
      </c>
      <c r="M7" s="148">
        <f>[11]STA_SP1_NO!$D$27</f>
        <v>0</v>
      </c>
      <c r="N7" s="229">
        <f t="shared" si="0"/>
        <v>0</v>
      </c>
    </row>
    <row r="8" spans="1:14" x14ac:dyDescent="0.25">
      <c r="A8" s="4">
        <v>5</v>
      </c>
      <c r="B8" s="10" t="s">
        <v>15</v>
      </c>
      <c r="C8" s="146">
        <f>[1]STA_SP1_NO!$D$30</f>
        <v>0</v>
      </c>
      <c r="D8" s="118">
        <f>[2]STA_SP1_NO!$D$30</f>
        <v>0</v>
      </c>
      <c r="E8" s="294">
        <f>[3]STA_SP1_NO!$D$30</f>
        <v>0</v>
      </c>
      <c r="F8" s="296">
        <f>[4]STA_SP1_NO!$D$30</f>
        <v>0</v>
      </c>
      <c r="G8" s="310">
        <f>[5]STA_SP1_NO!$D$30</f>
        <v>15474</v>
      </c>
      <c r="H8" s="313">
        <f>[6]STA_SP1_NO!$D$30</f>
        <v>0</v>
      </c>
      <c r="I8" s="318">
        <f>[7]STA_SP1_NO!$D$30</f>
        <v>0</v>
      </c>
      <c r="J8" s="118">
        <f>[8]STA_SP1_NO!$D$30</f>
        <v>1489</v>
      </c>
      <c r="K8" s="318">
        <f>[9]STA_SP1_NO!$D$30</f>
        <v>0</v>
      </c>
      <c r="L8" s="144">
        <f>[10]STA_SP1_NO!$D$30</f>
        <v>1001</v>
      </c>
      <c r="M8" s="148">
        <f>[11]STA_SP1_NO!$D$30</f>
        <v>0</v>
      </c>
      <c r="N8" s="229">
        <f t="shared" si="0"/>
        <v>17964</v>
      </c>
    </row>
    <row r="9" spans="1:14" x14ac:dyDescent="0.25">
      <c r="A9" s="4">
        <v>6</v>
      </c>
      <c r="B9" s="10" t="s">
        <v>16</v>
      </c>
      <c r="C9" s="197">
        <f>[1]STA_SP1_NO!$D$33</f>
        <v>225.65</v>
      </c>
      <c r="D9" s="118">
        <f>[2]STA_SP1_NO!$D$33</f>
        <v>41.04</v>
      </c>
      <c r="E9" s="294">
        <f>[3]STA_SP1_NO!$D$33</f>
        <v>119</v>
      </c>
      <c r="F9" s="296">
        <f>[4]STA_SP1_NO!$D$33</f>
        <v>1492.35</v>
      </c>
      <c r="G9" s="310">
        <f>[5]STA_SP1_NO!$D$33</f>
        <v>0</v>
      </c>
      <c r="H9" s="313">
        <f>[6]STA_SP1_NO!$D$33</f>
        <v>0</v>
      </c>
      <c r="I9" s="318">
        <f>[7]STA_SP1_NO!$D$33</f>
        <v>39</v>
      </c>
      <c r="J9" s="118">
        <f>[8]STA_SP1_NO!$D$33</f>
        <v>191</v>
      </c>
      <c r="K9" s="318">
        <f>[9]STA_SP1_NO!$D$33</f>
        <v>157.21</v>
      </c>
      <c r="L9" s="144">
        <f>[10]STA_SP1_NO!$D$33</f>
        <v>50</v>
      </c>
      <c r="M9" s="148">
        <f>[11]STA_SP1_NO!$D$33</f>
        <v>0</v>
      </c>
      <c r="N9" s="229">
        <f t="shared" si="0"/>
        <v>2315.25</v>
      </c>
    </row>
    <row r="10" spans="1:14" x14ac:dyDescent="0.25">
      <c r="A10" s="4">
        <v>7</v>
      </c>
      <c r="B10" s="10" t="s">
        <v>17</v>
      </c>
      <c r="C10" s="146">
        <f>[1]STA_SP1_NO!$D$36</f>
        <v>12900.84</v>
      </c>
      <c r="D10" s="118">
        <f>[2]STA_SP1_NO!$D$36</f>
        <v>23256.61</v>
      </c>
      <c r="E10" s="294">
        <f>[3]STA_SP1_NO!$D$36</f>
        <v>10853</v>
      </c>
      <c r="F10" s="296">
        <f>[4]STA_SP1_NO!$D$36</f>
        <v>2929.99</v>
      </c>
      <c r="G10" s="310">
        <f>[5]STA_SP1_NO!$D$36</f>
        <v>21783</v>
      </c>
      <c r="H10" s="313">
        <f>[6]STA_SP1_NO!$D$36</f>
        <v>0</v>
      </c>
      <c r="I10" s="318">
        <f>[7]STA_SP1_NO!$D$36</f>
        <v>10963</v>
      </c>
      <c r="J10" s="118">
        <f>[8]STA_SP1_NO!$D$36</f>
        <v>1140</v>
      </c>
      <c r="K10" s="318">
        <f>[9]STA_SP1_NO!$D$36</f>
        <v>1678.33</v>
      </c>
      <c r="L10" s="144">
        <f>[10]STA_SP1_NO!$D$36</f>
        <v>2465</v>
      </c>
      <c r="M10" s="148">
        <f>[11]STA_SP1_NO!$D$36</f>
        <v>0</v>
      </c>
      <c r="N10" s="229">
        <f t="shared" si="0"/>
        <v>87969.77</v>
      </c>
    </row>
    <row r="11" spans="1:14" x14ac:dyDescent="0.25">
      <c r="A11" s="4">
        <v>8</v>
      </c>
      <c r="B11" s="10" t="s">
        <v>18</v>
      </c>
      <c r="C11" s="146">
        <f>[1]STA_SP1_NO!$D$40</f>
        <v>136554.79</v>
      </c>
      <c r="D11" s="118">
        <f>[2]STA_SP1_NO!$D$40</f>
        <v>67999.34</v>
      </c>
      <c r="E11" s="294">
        <f>[3]STA_SP1_NO!$D$40</f>
        <v>29897</v>
      </c>
      <c r="F11" s="296">
        <f>[4]STA_SP1_NO!$D$40</f>
        <v>61225.85</v>
      </c>
      <c r="G11" s="310">
        <f>[5]STA_SP1_NO!$D$40</f>
        <v>164584</v>
      </c>
      <c r="H11" s="313">
        <f>[6]STA_SP1_NO!$D$40</f>
        <v>1999.08</v>
      </c>
      <c r="I11" s="318">
        <f>[7]STA_SP1_NO!$D$40</f>
        <v>38883</v>
      </c>
      <c r="J11" s="118">
        <f>[8]STA_SP1_NO!$D$40</f>
        <v>36893</v>
      </c>
      <c r="K11" s="318">
        <f>[9]STA_SP1_NO!$D$40</f>
        <v>59816.99</v>
      </c>
      <c r="L11" s="144">
        <f>[10]STA_SP1_NO!$D$40</f>
        <v>44191</v>
      </c>
      <c r="M11" s="148">
        <f>[11]STA_SP1_NO!$D$40</f>
        <v>0</v>
      </c>
      <c r="N11" s="229">
        <f t="shared" si="0"/>
        <v>642044.05000000005</v>
      </c>
    </row>
    <row r="12" spans="1:14" x14ac:dyDescent="0.25">
      <c r="A12" s="4">
        <v>9</v>
      </c>
      <c r="B12" s="10" t="s">
        <v>19</v>
      </c>
      <c r="C12" s="146">
        <f>[1]STA_SP1_NO!$D$56</f>
        <v>237262.11</v>
      </c>
      <c r="D12" s="118">
        <f>[2]STA_SP1_NO!$D$56</f>
        <v>130966.83</v>
      </c>
      <c r="E12" s="294">
        <f>[3]STA_SP1_NO!$D$56</f>
        <v>16704</v>
      </c>
      <c r="F12" s="296">
        <f>[4]STA_SP1_NO!$D$56</f>
        <v>124151.12</v>
      </c>
      <c r="G12" s="310">
        <f>[5]STA_SP1_NO!$D$56</f>
        <v>53865</v>
      </c>
      <c r="H12" s="313">
        <f>[6]STA_SP1_NO!$D$56</f>
        <v>928</v>
      </c>
      <c r="I12" s="318">
        <f>[7]STA_SP1_NO!$D$56</f>
        <v>174538</v>
      </c>
      <c r="J12" s="118">
        <f>[8]STA_SP1_NO!$D$56</f>
        <v>17129.36</v>
      </c>
      <c r="K12" s="318">
        <f>[9]STA_SP1_NO!$D$56</f>
        <v>88249.3</v>
      </c>
      <c r="L12" s="144">
        <f>[10]STA_SP1_NO!$D$56</f>
        <v>71556</v>
      </c>
      <c r="M12" s="148">
        <f>[11]STA_SP1_NO!$D$56</f>
        <v>0</v>
      </c>
      <c r="N12" s="229">
        <f t="shared" si="0"/>
        <v>915349.72000000009</v>
      </c>
    </row>
    <row r="13" spans="1:14" x14ac:dyDescent="0.25">
      <c r="A13" s="4">
        <v>10</v>
      </c>
      <c r="B13" s="10" t="s">
        <v>20</v>
      </c>
      <c r="C13" s="146">
        <f>[1]STA_SP1_NO!$D$88</f>
        <v>446548.04</v>
      </c>
      <c r="D13" s="118">
        <f>[2]STA_SP1_NO!$D$88</f>
        <v>237677.09</v>
      </c>
      <c r="E13" s="294">
        <f>[3]STA_SP1_NO!$D$88</f>
        <v>179768</v>
      </c>
      <c r="F13" s="296">
        <f>[4]STA_SP1_NO!$D$88</f>
        <v>296017.24</v>
      </c>
      <c r="G13" s="310">
        <f>[5]STA_SP1_NO!$D$88</f>
        <v>251998</v>
      </c>
      <c r="H13" s="313">
        <f>[6]STA_SP1_NO!$D$88</f>
        <v>372481.74</v>
      </c>
      <c r="I13" s="318">
        <f>[7]STA_SP1_NO!$D$88</f>
        <v>540535</v>
      </c>
      <c r="J13" s="118">
        <f>[8]STA_SP1_NO!$D$88</f>
        <v>316300</v>
      </c>
      <c r="K13" s="318">
        <f>[9]STA_SP1_NO!$D$88</f>
        <v>198557.03</v>
      </c>
      <c r="L13" s="144">
        <f>[10]STA_SP1_NO!$D$88</f>
        <v>367598</v>
      </c>
      <c r="M13" s="148">
        <f>[11]STA_SP1_NO!$D$88</f>
        <v>129.83000000000001</v>
      </c>
      <c r="N13" s="229">
        <f t="shared" si="0"/>
        <v>3207609.97</v>
      </c>
    </row>
    <row r="14" spans="1:14" x14ac:dyDescent="0.25">
      <c r="A14" s="4">
        <v>11</v>
      </c>
      <c r="B14" s="10" t="s">
        <v>21</v>
      </c>
      <c r="C14" s="146">
        <f>[1]STA_SP1_NO!$D$124</f>
        <v>39.630000000000003</v>
      </c>
      <c r="D14" s="118">
        <f>[2]STA_SP1_NO!$D$124</f>
        <v>338.76</v>
      </c>
      <c r="E14" s="294">
        <f>[3]STA_SP1_NO!$D$124</f>
        <v>0</v>
      </c>
      <c r="F14" s="296">
        <f>[4]STA_SP1_NO!$D$124</f>
        <v>0</v>
      </c>
      <c r="G14" s="310">
        <f>[5]STA_SP1_NO!$D$124</f>
        <v>2603</v>
      </c>
      <c r="H14" s="313">
        <f>[6]STA_SP1_NO!$D$124</f>
        <v>0</v>
      </c>
      <c r="I14" s="318">
        <f>[7]STA_SP1_NO!$D$124</f>
        <v>0</v>
      </c>
      <c r="J14" s="118">
        <f>[8]STA_SP1_NO!$D$124</f>
        <v>987</v>
      </c>
      <c r="K14" s="318">
        <f>[9]STA_SP1_NO!$D$124</f>
        <v>0</v>
      </c>
      <c r="L14" s="144">
        <f>[10]STA_SP1_NO!$D$124</f>
        <v>1048</v>
      </c>
      <c r="M14" s="148">
        <f>[11]STA_SP1_NO!$D$124</f>
        <v>0</v>
      </c>
      <c r="N14" s="229">
        <f t="shared" si="0"/>
        <v>5016.3899999999994</v>
      </c>
    </row>
    <row r="15" spans="1:14" x14ac:dyDescent="0.25">
      <c r="A15" s="4">
        <v>12</v>
      </c>
      <c r="B15" s="10" t="s">
        <v>22</v>
      </c>
      <c r="C15" s="197">
        <f>[1]STA_SP1_NO!$D$128</f>
        <v>407.06</v>
      </c>
      <c r="D15" s="118">
        <f>[2]STA_SP1_NO!$D$128</f>
        <v>165.75</v>
      </c>
      <c r="E15" s="294">
        <f>[3]STA_SP1_NO!$D$128</f>
        <v>32</v>
      </c>
      <c r="F15" s="296">
        <f>[4]STA_SP1_NO!$D$128</f>
        <v>645.41</v>
      </c>
      <c r="G15" s="310">
        <f>[5]STA_SP1_NO!$D$128</f>
        <v>525</v>
      </c>
      <c r="H15" s="313">
        <f>[6]STA_SP1_NO!$D$128</f>
        <v>0</v>
      </c>
      <c r="I15" s="318">
        <f>[7]STA_SP1_NO!$D$128</f>
        <v>358</v>
      </c>
      <c r="J15" s="118">
        <f>[8]STA_SP1_NO!$D$128</f>
        <v>296</v>
      </c>
      <c r="K15" s="318">
        <f>[9]STA_SP1_NO!$D$128</f>
        <v>256.08</v>
      </c>
      <c r="L15" s="144">
        <f>[10]STA_SP1_NO!$D$128</f>
        <v>115</v>
      </c>
      <c r="M15" s="148">
        <f>[11]STA_SP1_NO!$D$128</f>
        <v>0</v>
      </c>
      <c r="N15" s="229">
        <f t="shared" si="0"/>
        <v>2800.2999999999997</v>
      </c>
    </row>
    <row r="16" spans="1:14" x14ac:dyDescent="0.25">
      <c r="A16" s="4">
        <v>13</v>
      </c>
      <c r="B16" s="10" t="s">
        <v>23</v>
      </c>
      <c r="C16" s="146">
        <f>[1]STA_SP1_NO!$D$132</f>
        <v>35595.43</v>
      </c>
      <c r="D16" s="118">
        <f>[2]STA_SP1_NO!$D$132</f>
        <v>33594.39</v>
      </c>
      <c r="E16" s="294">
        <f>[3]STA_SP1_NO!$D$132</f>
        <v>5526</v>
      </c>
      <c r="F16" s="296">
        <f>[4]STA_SP1_NO!$D$132</f>
        <v>13278.44</v>
      </c>
      <c r="G16" s="310">
        <f>[5]STA_SP1_NO!$D$132</f>
        <v>34286</v>
      </c>
      <c r="H16" s="313">
        <f>[6]STA_SP1_NO!$D$132</f>
        <v>764.92</v>
      </c>
      <c r="I16" s="318">
        <f>[7]STA_SP1_NO!$D$132</f>
        <v>38445</v>
      </c>
      <c r="J16" s="118">
        <f>[8]STA_SP1_NO!$D$132</f>
        <v>14054</v>
      </c>
      <c r="K16" s="318">
        <f>[9]STA_SP1_NO!$D$132</f>
        <v>19632.63</v>
      </c>
      <c r="L16" s="144">
        <f>[10]STA_SP1_NO!$D$132</f>
        <v>14841</v>
      </c>
      <c r="M16" s="148">
        <f>[11]STA_SP1_NO!$D$132</f>
        <v>0</v>
      </c>
      <c r="N16" s="229">
        <f t="shared" si="0"/>
        <v>210017.81</v>
      </c>
    </row>
    <row r="17" spans="1:15" x14ac:dyDescent="0.25">
      <c r="A17" s="4">
        <v>14</v>
      </c>
      <c r="B17" s="10" t="s">
        <v>24</v>
      </c>
      <c r="C17" s="146">
        <f>[1]STA_SP1_NO!$D$153</f>
        <v>6304.95</v>
      </c>
      <c r="D17" s="118">
        <f>[2]STA_SP1_NO!$D$153</f>
        <v>3139.09</v>
      </c>
      <c r="E17" s="294">
        <f>[3]STA_SP1_NO!$D$153</f>
        <v>26</v>
      </c>
      <c r="F17" s="296">
        <f>[4]STA_SP1_NO!$D$153</f>
        <v>8169.69</v>
      </c>
      <c r="G17" s="310">
        <f>[5]STA_SP1_NO!$D$153</f>
        <v>0</v>
      </c>
      <c r="H17" s="313">
        <f>[6]STA_SP1_NO!$D$153</f>
        <v>0</v>
      </c>
      <c r="I17" s="318">
        <f>[7]STA_SP1_NO!$D$153</f>
        <v>0</v>
      </c>
      <c r="J17" s="118">
        <f>[8]STA_SP1_NO!$D$153</f>
        <v>0</v>
      </c>
      <c r="K17" s="318">
        <f>[9]STA_SP1_NO!$D$153</f>
        <v>62166.02</v>
      </c>
      <c r="L17" s="144">
        <f>[10]STA_SP1_NO!$D$153</f>
        <v>8002</v>
      </c>
      <c r="M17" s="148">
        <f>[11]STA_SP1_NO!$D$153</f>
        <v>0</v>
      </c>
      <c r="N17" s="229">
        <f t="shared" si="0"/>
        <v>87807.75</v>
      </c>
    </row>
    <row r="18" spans="1:15" x14ac:dyDescent="0.25">
      <c r="A18" s="4">
        <v>15</v>
      </c>
      <c r="B18" s="10" t="s">
        <v>25</v>
      </c>
      <c r="C18" s="197">
        <f>[1]STA_SP1_NO!$D$158</f>
        <v>0</v>
      </c>
      <c r="D18" s="118">
        <f>[2]STA_SP1_NO!$D$158</f>
        <v>0</v>
      </c>
      <c r="E18" s="294">
        <f>[3]STA_SP1_NO!$D$158</f>
        <v>812</v>
      </c>
      <c r="F18" s="296">
        <f>[4]STA_SP1_NO!$D$158</f>
        <v>4</v>
      </c>
      <c r="G18" s="310">
        <f>[5]STA_SP1_NO!$D$158</f>
        <v>128</v>
      </c>
      <c r="H18" s="313">
        <f>[6]STA_SP1_NO!$D$158</f>
        <v>0</v>
      </c>
      <c r="I18" s="318">
        <f>[7]STA_SP1_NO!$D$158</f>
        <v>0</v>
      </c>
      <c r="J18" s="118">
        <f>[8]STA_SP1_NO!$D$158</f>
        <v>0</v>
      </c>
      <c r="K18" s="318">
        <f>[9]STA_SP1_NO!$D$158</f>
        <v>73.8</v>
      </c>
      <c r="L18" s="144">
        <f>[10]STA_SP1_NO!$D$158</f>
        <v>0</v>
      </c>
      <c r="M18" s="148">
        <f>[11]STA_SP1_NO!$D$158</f>
        <v>0</v>
      </c>
      <c r="N18" s="229">
        <f t="shared" si="0"/>
        <v>1017.8</v>
      </c>
    </row>
    <row r="19" spans="1:15" x14ac:dyDescent="0.25">
      <c r="A19" s="4">
        <v>16</v>
      </c>
      <c r="B19" s="10" t="s">
        <v>26</v>
      </c>
      <c r="C19" s="146">
        <f>[1]STA_SP1_NO!$D$161</f>
        <v>4394.3599999999997</v>
      </c>
      <c r="D19" s="118">
        <f>[2]STA_SP1_NO!$D$161</f>
        <v>24433.68</v>
      </c>
      <c r="E19" s="294">
        <f>[3]STA_SP1_NO!$D$161</f>
        <v>3</v>
      </c>
      <c r="F19" s="296">
        <f>[4]STA_SP1_NO!$D$161</f>
        <v>8827.4</v>
      </c>
      <c r="G19" s="310">
        <f>[5]STA_SP1_NO!$D$161</f>
        <v>288</v>
      </c>
      <c r="H19" s="313">
        <f>[6]STA_SP1_NO!$D$161</f>
        <v>0</v>
      </c>
      <c r="I19" s="318">
        <f>[7]STA_SP1_NO!$D$161</f>
        <v>8491</v>
      </c>
      <c r="J19" s="118">
        <f>[8]STA_SP1_NO!$D$161</f>
        <v>0</v>
      </c>
      <c r="K19" s="318">
        <f>[9]STA_SP1_NO!$D$161</f>
        <v>4939.0600000000004</v>
      </c>
      <c r="L19" s="144">
        <f>[10]STA_SP1_NO!$D$161</f>
        <v>784</v>
      </c>
      <c r="M19" s="148">
        <f>[11]STA_SP1_NO!$D$161</f>
        <v>0</v>
      </c>
      <c r="N19" s="229">
        <f t="shared" si="0"/>
        <v>52160.5</v>
      </c>
    </row>
    <row r="20" spans="1:15" x14ac:dyDescent="0.25">
      <c r="A20" s="4">
        <v>17</v>
      </c>
      <c r="B20" s="10" t="s">
        <v>27</v>
      </c>
      <c r="C20" s="146">
        <f>[1]STA_SP1_NO!$D$167</f>
        <v>0</v>
      </c>
      <c r="D20" s="118">
        <f>[2]STA_SP1_NO!$D$167</f>
        <v>0</v>
      </c>
      <c r="E20" s="294">
        <f>[3]STA_SP1_NO!$D$167</f>
        <v>0</v>
      </c>
      <c r="F20" s="296">
        <f>[4]STA_SP1_NO!$D$167</f>
        <v>0</v>
      </c>
      <c r="G20" s="310">
        <f>[5]STA_SP1_NO!$D$167</f>
        <v>0</v>
      </c>
      <c r="H20" s="313">
        <f>[6]STA_SP1_NO!$D$167</f>
        <v>0</v>
      </c>
      <c r="I20" s="318">
        <f>[7]STA_SP1_NO!$D$167</f>
        <v>0</v>
      </c>
      <c r="J20" s="118">
        <f>[8]STA_SP1_NO!$D$167</f>
        <v>0</v>
      </c>
      <c r="K20" s="318">
        <f>[9]STA_SP1_NO!$D$167</f>
        <v>0</v>
      </c>
      <c r="L20" s="144">
        <f>[10]STA_SP1_NO!$D$167</f>
        <v>0</v>
      </c>
      <c r="M20" s="148">
        <f>[11]STA_SP1_NO!$D$167</f>
        <v>0</v>
      </c>
      <c r="N20" s="229">
        <f t="shared" si="0"/>
        <v>0</v>
      </c>
    </row>
    <row r="21" spans="1:15" ht="15.75" thickBot="1" x14ac:dyDescent="0.3">
      <c r="A21" s="6">
        <v>18</v>
      </c>
      <c r="B21" s="11" t="s">
        <v>28</v>
      </c>
      <c r="C21" s="147">
        <f>[1]STA_SP1_NO!$D$170</f>
        <v>13016.33</v>
      </c>
      <c r="D21" s="118">
        <f>[2]STA_SP1_NO!$D$170</f>
        <v>28881.56</v>
      </c>
      <c r="E21" s="294">
        <f>[3]STA_SP1_NO!$D$170</f>
        <v>5887</v>
      </c>
      <c r="F21" s="299">
        <f>[4]STA_SP1_NO!$D$170</f>
        <v>31010.16</v>
      </c>
      <c r="G21" s="311">
        <f>[5]STA_SP1_NO!$D$170</f>
        <v>26976</v>
      </c>
      <c r="H21" s="314">
        <f>[6]STA_SP1_NO!$D$170</f>
        <v>2829.3</v>
      </c>
      <c r="I21" s="319">
        <f>[7]STA_SP1_NO!$D$170</f>
        <v>13100</v>
      </c>
      <c r="J21" s="315">
        <f>[8]STA_SP1_NO!$D$170</f>
        <v>12424</v>
      </c>
      <c r="K21" s="318">
        <f>[9]STA_SP1_NO!$D$170</f>
        <v>10345.39</v>
      </c>
      <c r="L21" s="301">
        <f>[10]STA_SP1_NO!$D$170</f>
        <v>17497</v>
      </c>
      <c r="M21" s="322">
        <f>[11]STA_SP1_NO!$D$170</f>
        <v>0</v>
      </c>
      <c r="N21" s="229">
        <f t="shared" si="0"/>
        <v>161966.74</v>
      </c>
    </row>
    <row r="22" spans="1:15" ht="15.75" thickBot="1" x14ac:dyDescent="0.3">
      <c r="A22" s="7"/>
      <c r="B22" s="19" t="s">
        <v>29</v>
      </c>
      <c r="C22" s="153">
        <f t="shared" ref="C22" si="1">SUM(C4:C21)</f>
        <v>1239416.03</v>
      </c>
      <c r="D22" s="154">
        <f>SUM(D4:D21)</f>
        <v>936645.68</v>
      </c>
      <c r="E22" s="153">
        <f>SUM(E4:E21)</f>
        <v>330847</v>
      </c>
      <c r="F22" s="295">
        <f>SUM(F4:F21)</f>
        <v>822539.99999999988</v>
      </c>
      <c r="G22" s="300">
        <f>SUM(G4:G21)</f>
        <v>870185</v>
      </c>
      <c r="H22" s="302">
        <f>SUM(H4:H21)</f>
        <v>414293.25999999995</v>
      </c>
      <c r="I22" s="320">
        <f t="shared" ref="I22:M22" si="2">SUM(I4:I21)</f>
        <v>1017476</v>
      </c>
      <c r="J22" s="303">
        <f t="shared" si="2"/>
        <v>500877.36</v>
      </c>
      <c r="K22" s="320">
        <f t="shared" si="2"/>
        <v>683596.94000000006</v>
      </c>
      <c r="L22" s="303">
        <f t="shared" si="2"/>
        <v>907551</v>
      </c>
      <c r="M22" s="323">
        <f t="shared" si="2"/>
        <v>129.83000000000001</v>
      </c>
      <c r="N22" s="324">
        <f t="shared" si="0"/>
        <v>7723558.1000000006</v>
      </c>
      <c r="O22" s="304"/>
    </row>
    <row r="23" spans="1:15" ht="15.75" thickBot="1" x14ac:dyDescent="0.3">
      <c r="A23" s="13"/>
      <c r="B23" s="18"/>
      <c r="C23" s="14"/>
      <c r="D23" s="16"/>
      <c r="E23" s="15"/>
      <c r="F23" s="16"/>
      <c r="G23" s="16"/>
      <c r="H23" s="16"/>
      <c r="I23" s="16"/>
      <c r="J23" s="16"/>
      <c r="K23" s="16"/>
      <c r="L23" s="16"/>
      <c r="M23" s="17"/>
      <c r="N23" s="16"/>
      <c r="O23" s="305"/>
    </row>
    <row r="24" spans="1:15" ht="15.75" thickBot="1" x14ac:dyDescent="0.3">
      <c r="A24" s="429" t="s">
        <v>30</v>
      </c>
      <c r="B24" s="430"/>
      <c r="C24" s="23">
        <f>C22/N22</f>
        <v>0.16047215725612266</v>
      </c>
      <c r="D24" s="23">
        <f>D22/N22</f>
        <v>0.12127126744861283</v>
      </c>
      <c r="E24" s="23">
        <f>E22/N22</f>
        <v>4.2836086129785178E-2</v>
      </c>
      <c r="F24" s="82">
        <f>F22/N22</f>
        <v>0.10649754806660933</v>
      </c>
      <c r="G24" s="23">
        <f>G22/N22</f>
        <v>0.11266633703448155</v>
      </c>
      <c r="H24" s="82">
        <f>H22/N22</f>
        <v>5.364020761363858E-2</v>
      </c>
      <c r="I24" s="23">
        <f>I22/N22</f>
        <v>0.13173669270384591</v>
      </c>
      <c r="J24" s="82">
        <f>J22/N22</f>
        <v>6.4850597809317956E-2</v>
      </c>
      <c r="K24" s="23">
        <f>K22/N22</f>
        <v>8.8508033622482885E-2</v>
      </c>
      <c r="L24" s="82">
        <f>L22/N22</f>
        <v>0.11750426270503486</v>
      </c>
      <c r="M24" s="23">
        <f>M22/N22</f>
        <v>1.6809610068188649E-5</v>
      </c>
      <c r="N24" s="82">
        <f>N22/N22</f>
        <v>1</v>
      </c>
      <c r="O24" s="306"/>
    </row>
    <row r="25" spans="1:15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 ht="15.75" thickBot="1" x14ac:dyDescent="0.3">
      <c r="A26" s="424" t="s">
        <v>0</v>
      </c>
      <c r="B26" s="426" t="s">
        <v>1</v>
      </c>
      <c r="C26" s="433" t="s">
        <v>89</v>
      </c>
      <c r="D26" s="434"/>
      <c r="E26" s="434"/>
      <c r="F26" s="434"/>
      <c r="G26" s="434"/>
      <c r="H26" s="435"/>
      <c r="I26" s="431" t="s">
        <v>3</v>
      </c>
      <c r="J26" s="1"/>
      <c r="K26" s="1"/>
      <c r="L26" s="1"/>
      <c r="M26" s="1"/>
      <c r="N26" s="1"/>
    </row>
    <row r="27" spans="1:15" ht="15.75" thickBot="1" x14ac:dyDescent="0.3">
      <c r="A27" s="425"/>
      <c r="B27" s="428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32"/>
      <c r="J27" s="81"/>
      <c r="K27" s="442" t="s">
        <v>32</v>
      </c>
      <c r="L27" s="443"/>
      <c r="M27" s="232">
        <f>N22</f>
        <v>7723558.1000000006</v>
      </c>
      <c r="N27" s="233">
        <f>M27/M29</f>
        <v>0.8121260430073608</v>
      </c>
    </row>
    <row r="28" spans="1:15" ht="15.75" thickBot="1" x14ac:dyDescent="0.3">
      <c r="A28" s="22">
        <v>19</v>
      </c>
      <c r="B28" s="128" t="s">
        <v>33</v>
      </c>
      <c r="C28" s="187">
        <f>[12]STA_SP1_ZO!$J$51</f>
        <v>505455</v>
      </c>
      <c r="D28" s="209">
        <f>[13]STA_SP1_ZO!$J$51</f>
        <v>271802</v>
      </c>
      <c r="E28" s="187">
        <f>[14]STA_SP1_ZO!$J$51</f>
        <v>350034</v>
      </c>
      <c r="F28" s="186">
        <f>[15]STA_SP1_ZO!$J$51</f>
        <v>209357</v>
      </c>
      <c r="G28" s="187">
        <f>[16]STA_SP1_ZO!$J$51</f>
        <v>422424.84</v>
      </c>
      <c r="H28" s="188">
        <f>[17]STA_SP1_ZO!$J$51</f>
        <v>27663.88</v>
      </c>
      <c r="I28" s="230">
        <f>SUM(C28:H28)</f>
        <v>1786736.72</v>
      </c>
      <c r="J28" s="81"/>
      <c r="K28" s="438" t="s">
        <v>33</v>
      </c>
      <c r="L28" s="439"/>
      <c r="M28" s="234">
        <f>I28</f>
        <v>1786736.72</v>
      </c>
      <c r="N28" s="235">
        <f>M28/M29</f>
        <v>0.18787395699263926</v>
      </c>
    </row>
    <row r="29" spans="1:15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40" t="s">
        <v>3</v>
      </c>
      <c r="L29" s="441"/>
      <c r="M29" s="236">
        <f>M27+M28</f>
        <v>9510294.8200000003</v>
      </c>
      <c r="N29" s="237">
        <f>M29/M29</f>
        <v>1</v>
      </c>
    </row>
    <row r="30" spans="1:15" ht="15.75" thickBot="1" x14ac:dyDescent="0.3">
      <c r="A30" s="429" t="s">
        <v>34</v>
      </c>
      <c r="B30" s="430"/>
      <c r="C30" s="23">
        <f>C28/I28</f>
        <v>0.28289282597830084</v>
      </c>
      <c r="D30" s="82">
        <f>D28/I28</f>
        <v>0.15212202052913537</v>
      </c>
      <c r="E30" s="23">
        <f>E28/I28</f>
        <v>0.19590687093507542</v>
      </c>
      <c r="F30" s="82">
        <f>F28/I28</f>
        <v>0.11717283114884436</v>
      </c>
      <c r="G30" s="23">
        <f>G28/I28</f>
        <v>0.23642254355191181</v>
      </c>
      <c r="H30" s="82">
        <f>H28/I28</f>
        <v>1.5482907856732245E-2</v>
      </c>
      <c r="I30" s="231">
        <f>I28/I28</f>
        <v>1</v>
      </c>
      <c r="J30" s="1"/>
      <c r="K30" s="1"/>
      <c r="L30" s="1"/>
      <c r="M30" s="1"/>
      <c r="N30" s="1"/>
    </row>
    <row r="37" spans="8:8" x14ac:dyDescent="0.25">
      <c r="H37" s="198"/>
    </row>
  </sheetData>
  <mergeCells count="14">
    <mergeCell ref="N2:N3"/>
    <mergeCell ref="K28:L28"/>
    <mergeCell ref="K29:L29"/>
    <mergeCell ref="A30:B30"/>
    <mergeCell ref="K27:L27"/>
    <mergeCell ref="C2:M2"/>
    <mergeCell ref="C1:I1"/>
    <mergeCell ref="A2:A3"/>
    <mergeCell ref="B2:B3"/>
    <mergeCell ref="A26:A27"/>
    <mergeCell ref="B26:B27"/>
    <mergeCell ref="A24:B24"/>
    <mergeCell ref="I26:I27"/>
    <mergeCell ref="C26:H26"/>
  </mergeCells>
  <pageMargins left="0.25" right="0.25" top="0.75" bottom="0.75" header="0.3" footer="0.3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workbookViewId="0">
      <selection activeCell="R14" sqref="R14"/>
    </sheetView>
  </sheetViews>
  <sheetFormatPr defaultRowHeight="15" x14ac:dyDescent="0.25"/>
  <cols>
    <col min="1" max="1" width="4.5703125" customWidth="1"/>
    <col min="2" max="2" width="21.7109375" customWidth="1"/>
  </cols>
  <sheetData>
    <row r="1" spans="1:15" ht="24.75" customHeight="1" thickBot="1" x14ac:dyDescent="0.3">
      <c r="A1" s="26"/>
      <c r="B1" s="26"/>
      <c r="C1" s="457" t="s">
        <v>106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52"/>
    </row>
    <row r="2" spans="1:15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507" t="s">
        <v>3</v>
      </c>
    </row>
    <row r="3" spans="1:15" x14ac:dyDescent="0.25">
      <c r="A3" s="499"/>
      <c r="B3" s="501"/>
      <c r="C3" s="526" t="s">
        <v>68</v>
      </c>
      <c r="D3" s="501" t="s">
        <v>4</v>
      </c>
      <c r="E3" s="521" t="s">
        <v>5</v>
      </c>
      <c r="F3" s="462" t="s">
        <v>6</v>
      </c>
      <c r="G3" s="514" t="s">
        <v>8</v>
      </c>
      <c r="H3" s="462" t="s">
        <v>93</v>
      </c>
      <c r="I3" s="503" t="s">
        <v>96</v>
      </c>
      <c r="J3" s="505" t="s">
        <v>9</v>
      </c>
      <c r="K3" s="503" t="s">
        <v>92</v>
      </c>
      <c r="L3" s="462" t="s">
        <v>10</v>
      </c>
      <c r="M3" s="516" t="s">
        <v>95</v>
      </c>
      <c r="N3" s="508"/>
    </row>
    <row r="4" spans="1:15" ht="15.75" thickBot="1" x14ac:dyDescent="0.3">
      <c r="A4" s="500"/>
      <c r="B4" s="502"/>
      <c r="C4" s="528"/>
      <c r="D4" s="500"/>
      <c r="E4" s="500"/>
      <c r="F4" s="500"/>
      <c r="G4" s="515"/>
      <c r="H4" s="463"/>
      <c r="I4" s="504"/>
      <c r="J4" s="506"/>
      <c r="K4" s="504"/>
      <c r="L4" s="463"/>
      <c r="M4" s="517"/>
      <c r="N4" s="509"/>
    </row>
    <row r="5" spans="1:15" x14ac:dyDescent="0.25">
      <c r="A5" s="30">
        <v>1</v>
      </c>
      <c r="B5" s="31" t="s">
        <v>38</v>
      </c>
      <c r="C5" s="62">
        <f>[1]STA_SP2_NO!$C$25</f>
        <v>16292</v>
      </c>
      <c r="D5" s="118">
        <f>[2]STA_SP2_NO!$C$25</f>
        <v>9895</v>
      </c>
      <c r="E5" s="61">
        <f>[3]STA_SP2_NO!$C$25</f>
        <v>5931</v>
      </c>
      <c r="F5" s="118">
        <f>[4]STA_SP2_NO!$C$25</f>
        <v>12564</v>
      </c>
      <c r="G5" s="143">
        <f>[5]STA_SP2_NO!$C$25</f>
        <v>11342</v>
      </c>
      <c r="H5" s="118">
        <f>[6]STA_SP2_NO!$C$25</f>
        <v>14676</v>
      </c>
      <c r="I5" s="143">
        <f>[7]STA_SP2_NO!$C$25</f>
        <v>22922</v>
      </c>
      <c r="J5" s="54">
        <f>[8]STA_SP2_NO!$C$25</f>
        <v>12453</v>
      </c>
      <c r="K5" s="143">
        <f>[9]STA_SP2_NO!$C$25</f>
        <v>7306</v>
      </c>
      <c r="L5" s="387">
        <f>[10]STA_SP2_NO!$C$25</f>
        <v>14946</v>
      </c>
      <c r="M5" s="332">
        <f>[11]STA_SP2_NO!$C$25</f>
        <v>62</v>
      </c>
      <c r="N5" s="249">
        <f t="shared" ref="N5:N12" si="0">SUM(C5:M5)</f>
        <v>128389</v>
      </c>
    </row>
    <row r="6" spans="1:15" x14ac:dyDescent="0.25">
      <c r="A6" s="32">
        <v>2</v>
      </c>
      <c r="B6" s="33" t="s">
        <v>39</v>
      </c>
      <c r="C6" s="62">
        <f>[1]STA_SP2_NO!$C$26</f>
        <v>761</v>
      </c>
      <c r="D6" s="118">
        <f>[2]STA_SP2_NO!$C$26</f>
        <v>623</v>
      </c>
      <c r="E6" s="61">
        <f>[3]STA_SP2_NO!$C$26</f>
        <v>242</v>
      </c>
      <c r="F6" s="118">
        <f>[4]STA_SP2_NO!$C$26</f>
        <v>645</v>
      </c>
      <c r="G6" s="143">
        <f>[5]STA_SP2_NO!$C$26</f>
        <v>310</v>
      </c>
      <c r="H6" s="118">
        <f>[6]STA_SP2_NO!$C$26</f>
        <v>407</v>
      </c>
      <c r="I6" s="143">
        <f>[7]STA_SP2_NO!$C$26</f>
        <v>700</v>
      </c>
      <c r="J6" s="54">
        <f>[8]STA_SP2_NO!$C$26</f>
        <v>576</v>
      </c>
      <c r="K6" s="143">
        <f>[9]STA_SP2_NO!$C$26</f>
        <v>428</v>
      </c>
      <c r="L6" s="387">
        <f>[10]STA_SP2_NO!$C$26</f>
        <v>513</v>
      </c>
      <c r="M6" s="332">
        <f>[11]STA_SP2_NO!$C$26</f>
        <v>2</v>
      </c>
      <c r="N6" s="249">
        <f t="shared" si="0"/>
        <v>5207</v>
      </c>
    </row>
    <row r="7" spans="1:15" x14ac:dyDescent="0.25">
      <c r="A7" s="32">
        <v>3</v>
      </c>
      <c r="B7" s="33" t="s">
        <v>40</v>
      </c>
      <c r="C7" s="62">
        <f>[1]STA_SP2_NO!$C$27</f>
        <v>108</v>
      </c>
      <c r="D7" s="118">
        <f>[2]STA_SP2_NO!$C$27</f>
        <v>60</v>
      </c>
      <c r="E7" s="61">
        <f>[3]STA_SP2_NO!$C$27</f>
        <v>32</v>
      </c>
      <c r="F7" s="118">
        <f>[4]STA_SP2_NO!$C$27</f>
        <v>118</v>
      </c>
      <c r="G7" s="143">
        <f>[5]STA_SP2_NO!$C$27</f>
        <v>201</v>
      </c>
      <c r="H7" s="118">
        <f>[6]STA_SP2_NO!$C$27</f>
        <v>48</v>
      </c>
      <c r="I7" s="143">
        <f>[7]STA_SP2_NO!$C$27</f>
        <v>91</v>
      </c>
      <c r="J7" s="54">
        <f>[8]STA_SP2_NO!$C$27</f>
        <v>87</v>
      </c>
      <c r="K7" s="143">
        <f>[9]STA_SP2_NO!$C$27</f>
        <v>56</v>
      </c>
      <c r="L7" s="387">
        <f>[10]STA_SP2_NO!$C$27</f>
        <v>36</v>
      </c>
      <c r="M7" s="332">
        <f>[11]STA_SP2_NO!$C$27</f>
        <v>0</v>
      </c>
      <c r="N7" s="249">
        <f t="shared" si="0"/>
        <v>837</v>
      </c>
    </row>
    <row r="8" spans="1:15" x14ac:dyDescent="0.25">
      <c r="A8" s="32">
        <v>4</v>
      </c>
      <c r="B8" s="33" t="s">
        <v>41</v>
      </c>
      <c r="C8" s="62">
        <f>[1]STA_SP2_NO!$C$28</f>
        <v>7</v>
      </c>
      <c r="D8" s="118">
        <f>[2]STA_SP2_NO!$C$28</f>
        <v>1</v>
      </c>
      <c r="E8" s="61">
        <f>[3]STA_SP2_NO!$C$28</f>
        <v>1</v>
      </c>
      <c r="F8" s="118">
        <f>[4]STA_SP2_NO!$C$28</f>
        <v>3</v>
      </c>
      <c r="G8" s="143">
        <f>[5]STA_SP2_NO!$C$28</f>
        <v>0</v>
      </c>
      <c r="H8" s="118">
        <f>[6]STA_SP2_NO!$C$28</f>
        <v>1</v>
      </c>
      <c r="I8" s="143">
        <f>[7]STA_SP2_NO!$C$28</f>
        <v>5</v>
      </c>
      <c r="J8" s="54">
        <f>[8]STA_SP2_NO!$C$28</f>
        <v>4</v>
      </c>
      <c r="K8" s="143">
        <f>[9]STA_SP2_NO!$C$28</f>
        <v>8</v>
      </c>
      <c r="L8" s="387">
        <f>[10]STA_SP2_NO!$C$28</f>
        <v>4</v>
      </c>
      <c r="M8" s="332">
        <f>[11]STA_SP2_NO!$C$28</f>
        <v>0</v>
      </c>
      <c r="N8" s="249">
        <f t="shared" si="0"/>
        <v>34</v>
      </c>
    </row>
    <row r="9" spans="1:15" x14ac:dyDescent="0.25">
      <c r="A9" s="32">
        <v>5</v>
      </c>
      <c r="B9" s="33" t="s">
        <v>42</v>
      </c>
      <c r="C9" s="62">
        <f>[1]STA_SP2_NO!$C$29</f>
        <v>17</v>
      </c>
      <c r="D9" s="118">
        <f>[2]STA_SP2_NO!$C$29</f>
        <v>9</v>
      </c>
      <c r="E9" s="61">
        <f>[3]STA_SP2_NO!$C$29</f>
        <v>7</v>
      </c>
      <c r="F9" s="118">
        <f>[4]STA_SP2_NO!$C$29</f>
        <v>4</v>
      </c>
      <c r="G9" s="143">
        <f>[5]STA_SP2_NO!$C$29</f>
        <v>4</v>
      </c>
      <c r="H9" s="118">
        <f>[6]STA_SP2_NO!$C$29</f>
        <v>8</v>
      </c>
      <c r="I9" s="143">
        <f>[7]STA_SP2_NO!$C$29</f>
        <v>14</v>
      </c>
      <c r="J9" s="54">
        <f>[8]STA_SP2_NO!$C$29</f>
        <v>12</v>
      </c>
      <c r="K9" s="143">
        <f>[9]STA_SP2_NO!$C$29</f>
        <v>9</v>
      </c>
      <c r="L9" s="387">
        <f>[10]STA_SP2_NO!$C$29</f>
        <v>6</v>
      </c>
      <c r="M9" s="332">
        <f>[11]STA_SP2_NO!$C$29</f>
        <v>0</v>
      </c>
      <c r="N9" s="249">
        <f t="shared" si="0"/>
        <v>90</v>
      </c>
    </row>
    <row r="10" spans="1:15" x14ac:dyDescent="0.25">
      <c r="A10" s="32">
        <v>6</v>
      </c>
      <c r="B10" s="33" t="s">
        <v>43</v>
      </c>
      <c r="C10" s="62">
        <f>[1]STA_SP2_NO!$C$30</f>
        <v>522</v>
      </c>
      <c r="D10" s="118">
        <f>[2]STA_SP2_NO!$C$30</f>
        <v>303</v>
      </c>
      <c r="E10" s="61">
        <f>[3]STA_SP2_NO!$C$30</f>
        <v>161</v>
      </c>
      <c r="F10" s="118">
        <f>[4]STA_SP2_NO!$C$30</f>
        <v>628</v>
      </c>
      <c r="G10" s="143">
        <f>[5]STA_SP2_NO!$C$30</f>
        <v>248</v>
      </c>
      <c r="H10" s="118">
        <f>[6]STA_SP2_NO!$C$30</f>
        <v>480</v>
      </c>
      <c r="I10" s="143">
        <f>[7]STA_SP2_NO!$C$30</f>
        <v>548</v>
      </c>
      <c r="J10" s="54">
        <f>[8]STA_SP2_NO!$C$30</f>
        <v>363</v>
      </c>
      <c r="K10" s="143">
        <f>[9]STA_SP2_NO!$C$30</f>
        <v>188</v>
      </c>
      <c r="L10" s="387">
        <f>[10]STA_SP2_NO!$C$30</f>
        <v>603</v>
      </c>
      <c r="M10" s="332">
        <f>[11]STA_SP2_NO!$C$30</f>
        <v>0</v>
      </c>
      <c r="N10" s="249">
        <f t="shared" si="0"/>
        <v>4044</v>
      </c>
    </row>
    <row r="11" spans="1:15" x14ac:dyDescent="0.25">
      <c r="A11" s="32">
        <v>7</v>
      </c>
      <c r="B11" s="33" t="s">
        <v>44</v>
      </c>
      <c r="C11" s="62">
        <f>[1]STA_SP2_NO!$C$31</f>
        <v>700</v>
      </c>
      <c r="D11" s="118">
        <f>[2]STA_SP2_NO!$C$31</f>
        <v>626</v>
      </c>
      <c r="E11" s="61">
        <f>[3]STA_SP2_NO!$C$31</f>
        <v>210</v>
      </c>
      <c r="F11" s="118">
        <f>[4]STA_SP2_NO!$C$31</f>
        <v>603</v>
      </c>
      <c r="G11" s="143">
        <f>[5]STA_SP2_NO!$C$31</f>
        <v>266</v>
      </c>
      <c r="H11" s="118">
        <f>[6]STA_SP2_NO!$C$31</f>
        <v>376</v>
      </c>
      <c r="I11" s="143">
        <f>[7]STA_SP2_NO!$C$31</f>
        <v>646</v>
      </c>
      <c r="J11" s="54">
        <f>[8]STA_SP2_NO!$C$31</f>
        <v>514</v>
      </c>
      <c r="K11" s="143">
        <f>[9]STA_SP2_NO!$C$31</f>
        <v>369</v>
      </c>
      <c r="L11" s="387">
        <f>[10]STA_SP2_NO!$C$31</f>
        <v>461</v>
      </c>
      <c r="M11" s="332">
        <f>[11]STA_SP2_NO!$C$31</f>
        <v>0</v>
      </c>
      <c r="N11" s="249">
        <f t="shared" si="0"/>
        <v>4771</v>
      </c>
    </row>
    <row r="12" spans="1:15" ht="15.75" thickBot="1" x14ac:dyDescent="0.3">
      <c r="A12" s="34">
        <v>8</v>
      </c>
      <c r="B12" s="35" t="s">
        <v>45</v>
      </c>
      <c r="C12" s="62">
        <f>[1]STA_SP2_NO!$C$32</f>
        <v>4</v>
      </c>
      <c r="D12" s="118">
        <f>[2]STA_SP2_NO!$C$32</f>
        <v>1</v>
      </c>
      <c r="E12" s="61">
        <f>[3]STA_SP2_NO!$C$32</f>
        <v>0</v>
      </c>
      <c r="F12" s="118">
        <f>[4]STA_SP2_NO!$C$32</f>
        <v>2</v>
      </c>
      <c r="G12" s="143">
        <f>[5]STA_SP2_NO!$C$32</f>
        <v>2</v>
      </c>
      <c r="H12" s="118">
        <f>[6]STA_SP2_NO!$C$32</f>
        <v>2</v>
      </c>
      <c r="I12" s="143">
        <f>[7]STA_SP2_NO!$C$32</f>
        <v>5</v>
      </c>
      <c r="J12" s="54">
        <f>[8]STA_SP2_NO!$C$32</f>
        <v>3</v>
      </c>
      <c r="K12" s="143">
        <f>[9]STA_SP2_NO!$C$32</f>
        <v>0</v>
      </c>
      <c r="L12" s="387">
        <f>[10]STA_SP2_NO!$C$32</f>
        <v>2</v>
      </c>
      <c r="M12" s="332">
        <f>[11]STA_SP2_NO!$C$32</f>
        <v>0</v>
      </c>
      <c r="N12" s="249">
        <f t="shared" si="0"/>
        <v>21</v>
      </c>
    </row>
    <row r="13" spans="1:15" ht="15.75" thickBot="1" x14ac:dyDescent="0.3">
      <c r="A13" s="57"/>
      <c r="B13" s="37" t="s">
        <v>3</v>
      </c>
      <c r="C13" s="41">
        <f t="shared" ref="C13:F13" si="1">SUM(C5:C12)</f>
        <v>18411</v>
      </c>
      <c r="D13" s="39">
        <f t="shared" si="1"/>
        <v>11518</v>
      </c>
      <c r="E13" s="41">
        <f t="shared" si="1"/>
        <v>6584</v>
      </c>
      <c r="F13" s="39">
        <f t="shared" si="1"/>
        <v>14567</v>
      </c>
      <c r="G13" s="40">
        <f t="shared" ref="G13:N13" si="2">SUM(G5:G12)</f>
        <v>12373</v>
      </c>
      <c r="H13" s="39">
        <f t="shared" si="2"/>
        <v>15998</v>
      </c>
      <c r="I13" s="40">
        <f t="shared" si="2"/>
        <v>24931</v>
      </c>
      <c r="J13" s="39">
        <f t="shared" si="2"/>
        <v>14012</v>
      </c>
      <c r="K13" s="40">
        <f t="shared" si="2"/>
        <v>8364</v>
      </c>
      <c r="L13" s="380">
        <f t="shared" si="2"/>
        <v>16571</v>
      </c>
      <c r="M13" s="333">
        <f t="shared" si="2"/>
        <v>64</v>
      </c>
      <c r="N13" s="250">
        <f t="shared" si="2"/>
        <v>143393</v>
      </c>
    </row>
    <row r="14" spans="1:15" ht="15.75" thickBot="1" x14ac:dyDescent="0.3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469" t="s">
        <v>52</v>
      </c>
      <c r="B15" s="520"/>
      <c r="C15" s="48">
        <f>C13/N13</f>
        <v>0.12839538889625016</v>
      </c>
      <c r="D15" s="56">
        <f>D13/N13</f>
        <v>8.0324702042638071E-2</v>
      </c>
      <c r="E15" s="48">
        <f>E13/N13</f>
        <v>4.5915769946929072E-2</v>
      </c>
      <c r="F15" s="47">
        <f>F13/N13</f>
        <v>0.10158794362346837</v>
      </c>
      <c r="G15" s="70">
        <f>G13/N13</f>
        <v>8.628733620190665E-2</v>
      </c>
      <c r="H15" s="47">
        <f>H13/N13</f>
        <v>0.11156751026898105</v>
      </c>
      <c r="I15" s="70">
        <f>I13/N13</f>
        <v>0.17386483301137434</v>
      </c>
      <c r="J15" s="47">
        <f>J13/N13</f>
        <v>9.7717461800785249E-2</v>
      </c>
      <c r="K15" s="70">
        <f>K13/N13</f>
        <v>5.8329207144002845E-2</v>
      </c>
      <c r="L15" s="47">
        <f>L13/N13</f>
        <v>0.1155635212318593</v>
      </c>
      <c r="M15" s="342">
        <f>M13/N13</f>
        <v>4.4632583180489983E-4</v>
      </c>
      <c r="N15" s="258">
        <f>SUM(C15:M15)</f>
        <v>1</v>
      </c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ht="15.75" thickBot="1" x14ac:dyDescent="0.3">
      <c r="A18" s="26"/>
      <c r="B18" s="26"/>
      <c r="C18" s="457" t="s">
        <v>107</v>
      </c>
      <c r="D18" s="458"/>
      <c r="E18" s="458"/>
      <c r="F18" s="458"/>
      <c r="G18" s="458"/>
      <c r="H18" s="458"/>
      <c r="I18" s="458"/>
      <c r="J18" s="459"/>
      <c r="K18" s="459"/>
      <c r="L18" s="26"/>
      <c r="M18" s="26"/>
      <c r="N18" s="155" t="s">
        <v>35</v>
      </c>
    </row>
    <row r="19" spans="1:15" ht="15.75" thickBot="1" x14ac:dyDescent="0.3">
      <c r="A19" s="460" t="s">
        <v>0</v>
      </c>
      <c r="B19" s="462" t="s">
        <v>1</v>
      </c>
      <c r="C19" s="495" t="s">
        <v>2</v>
      </c>
      <c r="D19" s="496"/>
      <c r="E19" s="496"/>
      <c r="F19" s="496"/>
      <c r="G19" s="496"/>
      <c r="H19" s="496"/>
      <c r="I19" s="496"/>
      <c r="J19" s="496"/>
      <c r="K19" s="496"/>
      <c r="L19" s="496"/>
      <c r="M19" s="497"/>
      <c r="N19" s="507" t="s">
        <v>3</v>
      </c>
    </row>
    <row r="20" spans="1:15" x14ac:dyDescent="0.25">
      <c r="A20" s="499"/>
      <c r="B20" s="501"/>
      <c r="C20" s="533" t="s">
        <v>68</v>
      </c>
      <c r="D20" s="462" t="s">
        <v>4</v>
      </c>
      <c r="E20" s="503" t="s">
        <v>5</v>
      </c>
      <c r="F20" s="462" t="s">
        <v>6</v>
      </c>
      <c r="G20" s="514" t="s">
        <v>8</v>
      </c>
      <c r="H20" s="462" t="s">
        <v>93</v>
      </c>
      <c r="I20" s="503" t="s">
        <v>96</v>
      </c>
      <c r="J20" s="505" t="s">
        <v>9</v>
      </c>
      <c r="K20" s="503" t="s">
        <v>92</v>
      </c>
      <c r="L20" s="462" t="s">
        <v>10</v>
      </c>
      <c r="M20" s="516" t="s">
        <v>95</v>
      </c>
      <c r="N20" s="508"/>
    </row>
    <row r="21" spans="1:15" ht="15.75" thickBot="1" x14ac:dyDescent="0.3">
      <c r="A21" s="500"/>
      <c r="B21" s="502"/>
      <c r="C21" s="528"/>
      <c r="D21" s="500"/>
      <c r="E21" s="500"/>
      <c r="F21" s="500"/>
      <c r="G21" s="515"/>
      <c r="H21" s="463"/>
      <c r="I21" s="504"/>
      <c r="J21" s="506"/>
      <c r="K21" s="504"/>
      <c r="L21" s="463"/>
      <c r="M21" s="517"/>
      <c r="N21" s="509"/>
    </row>
    <row r="22" spans="1:15" x14ac:dyDescent="0.25">
      <c r="A22" s="30">
        <v>1</v>
      </c>
      <c r="B22" s="31" t="s">
        <v>38</v>
      </c>
      <c r="C22" s="62">
        <f>[1]STA_SP2_NO!$D$25</f>
        <v>82355.7</v>
      </c>
      <c r="D22" s="118">
        <f>[2]STA_SP2_NO!$D$25</f>
        <v>46934.16</v>
      </c>
      <c r="E22" s="61">
        <f>[3]STA_SP2_NO!$D$25</f>
        <v>29611</v>
      </c>
      <c r="F22" s="388">
        <f>[4]STA_SP2_NO!$D$25</f>
        <v>59726.55</v>
      </c>
      <c r="G22" s="143">
        <f>[5]STA_SP2_NO!$D$25</f>
        <v>54255</v>
      </c>
      <c r="H22" s="118">
        <f>[6]STA_SP2_NO!$D$25</f>
        <v>68202.649999999994</v>
      </c>
      <c r="I22" s="143">
        <f>[7]STA_SP2_NO!$D$25</f>
        <v>103963</v>
      </c>
      <c r="J22" s="54">
        <f>[8]STA_SP2_NO!$D$25</f>
        <v>58813</v>
      </c>
      <c r="K22" s="143">
        <f>[9]STA_SP2_NO!$D$25</f>
        <v>37172.75</v>
      </c>
      <c r="L22" s="387">
        <f>[10]STA_SP2_NO!$D$25</f>
        <v>70331</v>
      </c>
      <c r="M22" s="332">
        <f>[11]STA_SP2_NO!$D$25</f>
        <v>112.61</v>
      </c>
      <c r="N22" s="249">
        <f t="shared" ref="N22:N29" si="3">SUM(C22:M22)</f>
        <v>611477.41999999993</v>
      </c>
    </row>
    <row r="23" spans="1:15" x14ac:dyDescent="0.25">
      <c r="A23" s="32">
        <v>2</v>
      </c>
      <c r="B23" s="33" t="s">
        <v>39</v>
      </c>
      <c r="C23" s="62">
        <f>[1]STA_SP2_NO!$D$26</f>
        <v>13010.94</v>
      </c>
      <c r="D23" s="118">
        <f>[2]STA_SP2_NO!$D$26</f>
        <v>9798.2900000000009</v>
      </c>
      <c r="E23" s="61">
        <f>[3]STA_SP2_NO!$D$26</f>
        <v>4122</v>
      </c>
      <c r="F23" s="388">
        <f>[4]STA_SP2_NO!$D$26</f>
        <v>9952.75</v>
      </c>
      <c r="G23" s="143">
        <f>[5]STA_SP2_NO!$D$26</f>
        <v>4805</v>
      </c>
      <c r="H23" s="118">
        <f>[6]STA_SP2_NO!$D$26</f>
        <v>6400.16</v>
      </c>
      <c r="I23" s="143">
        <f>[7]STA_SP2_NO!$D$26</f>
        <v>11987</v>
      </c>
      <c r="J23" s="54">
        <f>[8]STA_SP2_NO!$D$26</f>
        <v>9148</v>
      </c>
      <c r="K23" s="143">
        <f>[9]STA_SP2_NO!$D$26</f>
        <v>7340.26</v>
      </c>
      <c r="L23" s="387">
        <f>[10]STA_SP2_NO!$D$26</f>
        <v>8194</v>
      </c>
      <c r="M23" s="332">
        <f>[11]STA_SP2_NO!$D$26</f>
        <v>17.22</v>
      </c>
      <c r="N23" s="249">
        <f t="shared" si="3"/>
        <v>84775.62</v>
      </c>
    </row>
    <row r="24" spans="1:15" x14ac:dyDescent="0.25">
      <c r="A24" s="32">
        <v>3</v>
      </c>
      <c r="B24" s="33" t="s">
        <v>40</v>
      </c>
      <c r="C24" s="62">
        <f>[1]STA_SP2_NO!$D$27</f>
        <v>1850.09</v>
      </c>
      <c r="D24" s="118">
        <f>[2]STA_SP2_NO!$D$27</f>
        <v>948.71</v>
      </c>
      <c r="E24" s="61">
        <f>[3]STA_SP2_NO!$D$27</f>
        <v>551</v>
      </c>
      <c r="F24" s="388">
        <f>[4]STA_SP2_NO!$D$27</f>
        <v>1896.82</v>
      </c>
      <c r="G24" s="143">
        <f>[5]STA_SP2_NO!$D$27</f>
        <v>1860</v>
      </c>
      <c r="H24" s="118">
        <f>[6]STA_SP2_NO!$D$27</f>
        <v>809.73</v>
      </c>
      <c r="I24" s="143">
        <f>[7]STA_SP2_NO!$D$27</f>
        <v>1567</v>
      </c>
      <c r="J24" s="54">
        <f>[8]STA_SP2_NO!$D$27</f>
        <v>1464</v>
      </c>
      <c r="K24" s="143">
        <f>[9]STA_SP2_NO!$D$27</f>
        <v>964.43</v>
      </c>
      <c r="L24" s="387">
        <f>[10]STA_SP2_NO!$D$27</f>
        <v>569</v>
      </c>
      <c r="M24" s="332">
        <f>[11]STA_SP2_NO!$D$27</f>
        <v>0</v>
      </c>
      <c r="N24" s="249">
        <f t="shared" si="3"/>
        <v>12480.78</v>
      </c>
    </row>
    <row r="25" spans="1:15" x14ac:dyDescent="0.25">
      <c r="A25" s="32">
        <v>4</v>
      </c>
      <c r="B25" s="33" t="s">
        <v>41</v>
      </c>
      <c r="C25" s="62">
        <f>[1]STA_SP2_NO!$D$28</f>
        <v>38.75</v>
      </c>
      <c r="D25" s="118">
        <f>[2]STA_SP2_NO!$D$28</f>
        <v>5.53</v>
      </c>
      <c r="E25" s="61">
        <f>[3]STA_SP2_NO!$D$28</f>
        <v>6</v>
      </c>
      <c r="F25" s="388">
        <f>[4]STA_SP2_NO!$D$28</f>
        <v>11.37</v>
      </c>
      <c r="G25" s="143">
        <f>[5]STA_SP2_NO!$D$28</f>
        <v>0</v>
      </c>
      <c r="H25" s="118">
        <f>[6]STA_SP2_NO!$D$28</f>
        <v>5.54</v>
      </c>
      <c r="I25" s="143">
        <f>[7]STA_SP2_NO!$D$28</f>
        <v>22</v>
      </c>
      <c r="J25" s="54">
        <f>[8]STA_SP2_NO!$D$28</f>
        <v>46</v>
      </c>
      <c r="K25" s="143">
        <f>[9]STA_SP2_NO!$D$28</f>
        <v>44.29</v>
      </c>
      <c r="L25" s="387">
        <f>[10]STA_SP2_NO!$D$28</f>
        <v>22</v>
      </c>
      <c r="M25" s="332">
        <f>[11]STA_SP2_NO!$D$28</f>
        <v>0</v>
      </c>
      <c r="N25" s="249">
        <f t="shared" si="3"/>
        <v>201.48</v>
      </c>
    </row>
    <row r="26" spans="1:15" x14ac:dyDescent="0.25">
      <c r="A26" s="32">
        <v>5</v>
      </c>
      <c r="B26" s="33" t="s">
        <v>42</v>
      </c>
      <c r="C26" s="62">
        <f>[1]STA_SP2_NO!$D$29</f>
        <v>94.11</v>
      </c>
      <c r="D26" s="118">
        <f>[2]STA_SP2_NO!$D$29</f>
        <v>44.58</v>
      </c>
      <c r="E26" s="61">
        <f>[3]STA_SP2_NO!$D$29</f>
        <v>39</v>
      </c>
      <c r="F26" s="388">
        <f>[4]STA_SP2_NO!$D$29</f>
        <v>22.14</v>
      </c>
      <c r="G26" s="143">
        <f>[5]STA_SP2_NO!$D$29</f>
        <v>17</v>
      </c>
      <c r="H26" s="118">
        <f>[6]STA_SP2_NO!$D$29</f>
        <v>44.29</v>
      </c>
      <c r="I26" s="143">
        <f>[7]STA_SP2_NO!$D$29</f>
        <v>78</v>
      </c>
      <c r="J26" s="54">
        <f>[8]STA_SP2_NO!$D$29</f>
        <v>66</v>
      </c>
      <c r="K26" s="143">
        <f>[9]STA_SP2_NO!$D$29</f>
        <v>49.82</v>
      </c>
      <c r="L26" s="387">
        <f>[10]STA_SP2_NO!$D$29</f>
        <v>33</v>
      </c>
      <c r="M26" s="332">
        <f>[11]STA_SP2_NO!$D$29</f>
        <v>0</v>
      </c>
      <c r="N26" s="249">
        <f t="shared" si="3"/>
        <v>487.94</v>
      </c>
    </row>
    <row r="27" spans="1:15" x14ac:dyDescent="0.25">
      <c r="A27" s="32">
        <v>6</v>
      </c>
      <c r="B27" s="33" t="s">
        <v>43</v>
      </c>
      <c r="C27" s="62">
        <f>[1]STA_SP2_NO!$D$30</f>
        <v>972</v>
      </c>
      <c r="D27" s="118">
        <f>[2]STA_SP2_NO!$D$30</f>
        <v>537.29999999999995</v>
      </c>
      <c r="E27" s="61">
        <f>[3]STA_SP2_NO!$D$30</f>
        <v>298</v>
      </c>
      <c r="F27" s="388">
        <f>[4]STA_SP2_NO!$D$30</f>
        <v>1115.21</v>
      </c>
      <c r="G27" s="143">
        <f>[5]STA_SP2_NO!$D$30</f>
        <v>435</v>
      </c>
      <c r="H27" s="118">
        <f>[6]STA_SP2_NO!$D$30</f>
        <v>852.35</v>
      </c>
      <c r="I27" s="143">
        <f>[7]STA_SP2_NO!$D$30</f>
        <v>1009</v>
      </c>
      <c r="J27" s="54">
        <f>[8]STA_SP2_NO!$D$30</f>
        <v>651</v>
      </c>
      <c r="K27" s="143">
        <f>[9]STA_SP2_NO!$D$30</f>
        <v>347.8</v>
      </c>
      <c r="L27" s="387">
        <f>[10]STA_SP2_NO!$D$30</f>
        <v>1072</v>
      </c>
      <c r="M27" s="332">
        <f>[11]STA_SP2_NO!$D$30</f>
        <v>0</v>
      </c>
      <c r="N27" s="249">
        <f t="shared" si="3"/>
        <v>7289.6600000000008</v>
      </c>
    </row>
    <row r="28" spans="1:15" x14ac:dyDescent="0.25">
      <c r="A28" s="32">
        <v>7</v>
      </c>
      <c r="B28" s="33" t="s">
        <v>44</v>
      </c>
      <c r="C28" s="62">
        <f>[1]STA_SP2_NO!$D$31</f>
        <v>3872.09</v>
      </c>
      <c r="D28" s="118">
        <f>[2]STA_SP2_NO!$D$31</f>
        <v>3292.74</v>
      </c>
      <c r="E28" s="61">
        <f>[3]STA_SP2_NO!$D$31</f>
        <v>1152</v>
      </c>
      <c r="F28" s="388">
        <f>[4]STA_SP2_NO!$D$31</f>
        <v>3112.46</v>
      </c>
      <c r="G28" s="143">
        <f>[5]STA_SP2_NO!$D$31</f>
        <v>1390</v>
      </c>
      <c r="H28" s="118">
        <f>[6]STA_SP2_NO!$D$31</f>
        <v>1872.1</v>
      </c>
      <c r="I28" s="143">
        <f>[7]STA_SP2_NO!$D$31</f>
        <v>3560</v>
      </c>
      <c r="J28" s="54">
        <f>[8]STA_SP2_NO!$D$31</f>
        <v>2730</v>
      </c>
      <c r="K28" s="143">
        <f>[9]STA_SP2_NO!$D$31</f>
        <v>2042.78</v>
      </c>
      <c r="L28" s="387">
        <f>[10]STA_SP2_NO!$D$31</f>
        <v>2447</v>
      </c>
      <c r="M28" s="332">
        <f>[11]STA_SP2_NO!$D$31</f>
        <v>0</v>
      </c>
      <c r="N28" s="249">
        <f t="shared" si="3"/>
        <v>25471.17</v>
      </c>
    </row>
    <row r="29" spans="1:15" ht="15.75" thickBot="1" x14ac:dyDescent="0.3">
      <c r="A29" s="34">
        <v>8</v>
      </c>
      <c r="B29" s="35" t="s">
        <v>45</v>
      </c>
      <c r="C29" s="62">
        <f>[1]STA_SP2_NO!$D$32</f>
        <v>22.14</v>
      </c>
      <c r="D29" s="118">
        <f>[2]STA_SP2_NO!$D$32</f>
        <v>5.53</v>
      </c>
      <c r="E29" s="61">
        <f>[3]STA_SP2_NO!$D$32</f>
        <v>0</v>
      </c>
      <c r="F29" s="388">
        <f>[4]STA_SP2_NO!$D$32</f>
        <v>5.84</v>
      </c>
      <c r="G29" s="143">
        <f>[5]STA_SP2_NO!$D$32</f>
        <v>11</v>
      </c>
      <c r="H29" s="118">
        <f>[6]STA_SP2_NO!$D$32</f>
        <v>5.84</v>
      </c>
      <c r="I29" s="143">
        <f>[7]STA_SP2_NO!$D$32</f>
        <v>28</v>
      </c>
      <c r="J29" s="54">
        <f>[8]STA_SP2_NO!$D$32</f>
        <v>17</v>
      </c>
      <c r="K29" s="143">
        <f>[9]STA_SP2_NO!$D$32</f>
        <v>0</v>
      </c>
      <c r="L29" s="387">
        <f>[10]STA_SP2_NO!$D$32</f>
        <v>23</v>
      </c>
      <c r="M29" s="332">
        <f>[11]STA_SP2_NO!$D$32</f>
        <v>0</v>
      </c>
      <c r="N29" s="249">
        <f t="shared" si="3"/>
        <v>118.35000000000001</v>
      </c>
    </row>
    <row r="30" spans="1:15" ht="15.75" thickBot="1" x14ac:dyDescent="0.3">
      <c r="A30" s="57"/>
      <c r="B30" s="37" t="s">
        <v>3</v>
      </c>
      <c r="C30" s="41">
        <f t="shared" ref="C30:E30" si="4">SUM(C22:C29)</f>
        <v>102215.81999999999</v>
      </c>
      <c r="D30" s="39">
        <f t="shared" si="4"/>
        <v>61566.840000000004</v>
      </c>
      <c r="E30" s="41">
        <f t="shared" si="4"/>
        <v>35779</v>
      </c>
      <c r="F30" s="51">
        <f t="shared" ref="F30:N30" si="5">SUM(F22:F29)</f>
        <v>75843.140000000014</v>
      </c>
      <c r="G30" s="40">
        <f t="shared" si="5"/>
        <v>62773</v>
      </c>
      <c r="H30" s="39">
        <f t="shared" si="5"/>
        <v>78192.659999999989</v>
      </c>
      <c r="I30" s="40">
        <f t="shared" si="5"/>
        <v>122214</v>
      </c>
      <c r="J30" s="39">
        <f t="shared" si="5"/>
        <v>72935</v>
      </c>
      <c r="K30" s="40">
        <f t="shared" si="5"/>
        <v>47962.130000000005</v>
      </c>
      <c r="L30" s="380">
        <f t="shared" si="5"/>
        <v>82691</v>
      </c>
      <c r="M30" s="333">
        <f t="shared" si="5"/>
        <v>129.82999999999998</v>
      </c>
      <c r="N30" s="250">
        <f t="shared" si="5"/>
        <v>742302.41999999993</v>
      </c>
    </row>
    <row r="31" spans="1:15" ht="15.75" thickBot="1" x14ac:dyDescent="0.3">
      <c r="A31" s="1"/>
      <c r="B31" s="1"/>
      <c r="C31" s="1"/>
      <c r="D31" s="1"/>
      <c r="E31" s="1"/>
      <c r="F31" s="1"/>
      <c r="G31" s="341"/>
      <c r="H31" s="1"/>
      <c r="I31" s="341"/>
      <c r="J31" s="1"/>
      <c r="K31" s="341"/>
      <c r="L31" s="1"/>
      <c r="M31" s="348"/>
      <c r="N31" s="1"/>
    </row>
    <row r="32" spans="1:15" ht="15.75" thickBot="1" x14ac:dyDescent="0.3">
      <c r="A32" s="469" t="s">
        <v>52</v>
      </c>
      <c r="B32" s="520"/>
      <c r="C32" s="48">
        <f>C30/N30</f>
        <v>0.13770104642795047</v>
      </c>
      <c r="D32" s="56">
        <f>D30/N30</f>
        <v>8.2940373547482182E-2</v>
      </c>
      <c r="E32" s="48">
        <f>E30/N30</f>
        <v>4.8200031464264936E-2</v>
      </c>
      <c r="F32" s="47">
        <f>F30/N30</f>
        <v>0.10217283139128122</v>
      </c>
      <c r="G32" s="70">
        <f>G30/N30</f>
        <v>8.4565263844889535E-2</v>
      </c>
      <c r="H32" s="47">
        <f>H30/N30</f>
        <v>0.10533801034893568</v>
      </c>
      <c r="I32" s="70">
        <f>I30/N30</f>
        <v>0.16464179114490832</v>
      </c>
      <c r="J32" s="47">
        <f>J30/N30</f>
        <v>9.8255102010848902E-2</v>
      </c>
      <c r="K32" s="70">
        <f>K30/N30</f>
        <v>6.4612654772161479E-2</v>
      </c>
      <c r="L32" s="389">
        <f>L30/N30</f>
        <v>0.11139799328688704</v>
      </c>
      <c r="M32" s="342">
        <f>M30/N30</f>
        <v>1.7490176039032716E-4</v>
      </c>
      <c r="N32" s="258">
        <f>SUM(C32:M32)</f>
        <v>1</v>
      </c>
    </row>
  </sheetData>
  <mergeCells count="34">
    <mergeCell ref="N19:N21"/>
    <mergeCell ref="C20:C21"/>
    <mergeCell ref="D20:D21"/>
    <mergeCell ref="E20:E21"/>
    <mergeCell ref="K20:K21"/>
    <mergeCell ref="L20:L21"/>
    <mergeCell ref="M20:M21"/>
    <mergeCell ref="N2:N4"/>
    <mergeCell ref="C3:C4"/>
    <mergeCell ref="D3:D4"/>
    <mergeCell ref="E3:E4"/>
    <mergeCell ref="F3:F4"/>
    <mergeCell ref="G3:G4"/>
    <mergeCell ref="L3:L4"/>
    <mergeCell ref="M3:M4"/>
    <mergeCell ref="A15:B15"/>
    <mergeCell ref="C1:K1"/>
    <mergeCell ref="A2:A4"/>
    <mergeCell ref="B2:B4"/>
    <mergeCell ref="H3:H4"/>
    <mergeCell ref="I3:I4"/>
    <mergeCell ref="J3:J4"/>
    <mergeCell ref="K3:K4"/>
    <mergeCell ref="C2:M2"/>
    <mergeCell ref="A32:B32"/>
    <mergeCell ref="C18:K18"/>
    <mergeCell ref="A19:A21"/>
    <mergeCell ref="B19:B21"/>
    <mergeCell ref="F20:F21"/>
    <mergeCell ref="G20:G21"/>
    <mergeCell ref="H20:H21"/>
    <mergeCell ref="I20:I21"/>
    <mergeCell ref="J20:J21"/>
    <mergeCell ref="C19:M19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S19" sqref="S19"/>
    </sheetView>
  </sheetViews>
  <sheetFormatPr defaultRowHeight="15" x14ac:dyDescent="0.25"/>
  <cols>
    <col min="1" max="1" width="3.85546875" customWidth="1"/>
    <col min="2" max="2" width="20" customWidth="1"/>
  </cols>
  <sheetData>
    <row r="1" spans="1:15" ht="28.5" customHeight="1" thickBot="1" x14ac:dyDescent="0.3">
      <c r="A1" s="26"/>
      <c r="B1" s="26"/>
      <c r="C1" s="457" t="s">
        <v>108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52"/>
    </row>
    <row r="2" spans="1:15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507" t="s">
        <v>3</v>
      </c>
    </row>
    <row r="3" spans="1:15" x14ac:dyDescent="0.25">
      <c r="A3" s="499"/>
      <c r="B3" s="501"/>
      <c r="C3" s="526" t="s">
        <v>68</v>
      </c>
      <c r="D3" s="501" t="s">
        <v>4</v>
      </c>
      <c r="E3" s="521" t="s">
        <v>5</v>
      </c>
      <c r="F3" s="462" t="s">
        <v>6</v>
      </c>
      <c r="G3" s="514" t="s">
        <v>8</v>
      </c>
      <c r="H3" s="462" t="s">
        <v>93</v>
      </c>
      <c r="I3" s="503" t="s">
        <v>96</v>
      </c>
      <c r="J3" s="505" t="s">
        <v>9</v>
      </c>
      <c r="K3" s="503" t="s">
        <v>92</v>
      </c>
      <c r="L3" s="462" t="s">
        <v>10</v>
      </c>
      <c r="M3" s="530" t="s">
        <v>95</v>
      </c>
      <c r="N3" s="508"/>
    </row>
    <row r="4" spans="1:15" ht="15.75" thickBot="1" x14ac:dyDescent="0.3">
      <c r="A4" s="500"/>
      <c r="B4" s="502"/>
      <c r="C4" s="528"/>
      <c r="D4" s="500"/>
      <c r="E4" s="500"/>
      <c r="F4" s="500"/>
      <c r="G4" s="515"/>
      <c r="H4" s="463"/>
      <c r="I4" s="504"/>
      <c r="J4" s="506"/>
      <c r="K4" s="504"/>
      <c r="L4" s="463"/>
      <c r="M4" s="532"/>
      <c r="N4" s="509"/>
    </row>
    <row r="5" spans="1:15" x14ac:dyDescent="0.25">
      <c r="A5" s="30">
        <v>1</v>
      </c>
      <c r="B5" s="31" t="s">
        <v>38</v>
      </c>
      <c r="C5" s="62">
        <f>[1]STA_SP2_NO!$C$34</f>
        <v>182</v>
      </c>
      <c r="D5" s="118">
        <f>[2]STA_SP2_NO!$C$34</f>
        <v>50</v>
      </c>
      <c r="E5" s="62">
        <f>[3]STA_SP2_NO!$C$34</f>
        <v>9010</v>
      </c>
      <c r="F5" s="118">
        <f>[4]STA_SP2_NO!$C$34</f>
        <v>107</v>
      </c>
      <c r="G5" s="391">
        <f>[5]STA_SP2_NO!$C$34</f>
        <v>117</v>
      </c>
      <c r="H5" s="54">
        <f>[6]STA_SP2_NO!$C$34</f>
        <v>6057</v>
      </c>
      <c r="I5" s="61">
        <f>[7]STA_SP2_NO!$C$34</f>
        <v>286</v>
      </c>
      <c r="J5" s="54">
        <f>[8]STA_SP2_NO!$C$34</f>
        <v>52</v>
      </c>
      <c r="K5" s="61">
        <f>[9]STA_SP2_NO!$C$34</f>
        <v>1361</v>
      </c>
      <c r="L5" s="390">
        <f>[10]STA_SP2_NO!$C$34</f>
        <v>52</v>
      </c>
      <c r="M5" s="332">
        <f>[11]STA_SP2_NO!$C$34</f>
        <v>0</v>
      </c>
      <c r="N5" s="249">
        <f t="shared" ref="N5:N13" si="0">SUM(C5:M5)</f>
        <v>17274</v>
      </c>
    </row>
    <row r="6" spans="1:15" x14ac:dyDescent="0.25">
      <c r="A6" s="32">
        <v>2</v>
      </c>
      <c r="B6" s="33" t="s">
        <v>39</v>
      </c>
      <c r="C6" s="62">
        <f>[1]STA_SP2_NO!$C$35</f>
        <v>2</v>
      </c>
      <c r="D6" s="118">
        <f>[2]STA_SP2_NO!$C$35</f>
        <v>0</v>
      </c>
      <c r="E6" s="62">
        <f>[3]STA_SP2_NO!$C$35</f>
        <v>112</v>
      </c>
      <c r="F6" s="118">
        <f>[4]STA_SP2_NO!$C$35</f>
        <v>1</v>
      </c>
      <c r="G6" s="391">
        <f>[5]STA_SP2_NO!$C$35</f>
        <v>1</v>
      </c>
      <c r="H6" s="54">
        <f>[6]STA_SP2_NO!$C$35</f>
        <v>0</v>
      </c>
      <c r="I6" s="61">
        <f>[7]STA_SP2_NO!$C$35</f>
        <v>0</v>
      </c>
      <c r="J6" s="54">
        <f>[8]STA_SP2_NO!$C$35</f>
        <v>0</v>
      </c>
      <c r="K6" s="61">
        <f>[9]STA_SP2_NO!$C$35</f>
        <v>20</v>
      </c>
      <c r="L6" s="390">
        <f>[10]STA_SP2_NO!$C$35</f>
        <v>0</v>
      </c>
      <c r="M6" s="332">
        <f>[11]STA_SP2_NO!$C$35</f>
        <v>0</v>
      </c>
      <c r="N6" s="249">
        <f t="shared" si="0"/>
        <v>136</v>
      </c>
    </row>
    <row r="7" spans="1:15" x14ac:dyDescent="0.25">
      <c r="A7" s="32">
        <v>3</v>
      </c>
      <c r="B7" s="33" t="s">
        <v>40</v>
      </c>
      <c r="C7" s="62">
        <f>[1]STA_SP2_NO!$C$36</f>
        <v>0</v>
      </c>
      <c r="D7" s="118">
        <f>[2]STA_SP2_NO!$C$36</f>
        <v>0</v>
      </c>
      <c r="E7" s="62">
        <f>[3]STA_SP2_NO!$C$36</f>
        <v>13</v>
      </c>
      <c r="F7" s="118">
        <f>[4]STA_SP2_NO!$C$36</f>
        <v>0</v>
      </c>
      <c r="G7" s="391">
        <f>[5]STA_SP2_NO!$C$36</f>
        <v>0</v>
      </c>
      <c r="H7" s="54">
        <f>[6]STA_SP2_NO!$C$36</f>
        <v>0</v>
      </c>
      <c r="I7" s="61">
        <f>[7]STA_SP2_NO!$C$36</f>
        <v>0</v>
      </c>
      <c r="J7" s="54">
        <f>[8]STA_SP2_NO!$C$36</f>
        <v>0</v>
      </c>
      <c r="K7" s="61">
        <f>[9]STA_SP2_NO!$C$36</f>
        <v>4</v>
      </c>
      <c r="L7" s="390">
        <f>[10]STA_SP2_NO!$C$36</f>
        <v>0</v>
      </c>
      <c r="M7" s="332">
        <f>[11]STA_SP2_NO!$C$36</f>
        <v>0</v>
      </c>
      <c r="N7" s="249">
        <f t="shared" si="0"/>
        <v>17</v>
      </c>
    </row>
    <row r="8" spans="1:15" x14ac:dyDescent="0.25">
      <c r="A8" s="32">
        <v>4</v>
      </c>
      <c r="B8" s="33" t="s">
        <v>41</v>
      </c>
      <c r="C8" s="62">
        <f>[1]STA_SP2_NO!$C$37</f>
        <v>0</v>
      </c>
      <c r="D8" s="118">
        <f>[2]STA_SP2_NO!$C$37</f>
        <v>0</v>
      </c>
      <c r="E8" s="62">
        <f>[3]STA_SP2_NO!$C$37</f>
        <v>3</v>
      </c>
      <c r="F8" s="118">
        <f>[4]STA_SP2_NO!$C$37</f>
        <v>0</v>
      </c>
      <c r="G8" s="391">
        <f>[5]STA_SP2_NO!$C$37</f>
        <v>0</v>
      </c>
      <c r="H8" s="54">
        <f>[6]STA_SP2_NO!$C$37</f>
        <v>0</v>
      </c>
      <c r="I8" s="61">
        <f>[7]STA_SP2_NO!$C$37</f>
        <v>0</v>
      </c>
      <c r="J8" s="54">
        <f>[8]STA_SP2_NO!$C$37</f>
        <v>0</v>
      </c>
      <c r="K8" s="61">
        <f>[9]STA_SP2_NO!$C$37</f>
        <v>0</v>
      </c>
      <c r="L8" s="390">
        <f>[10]STA_SP2_NO!$C$37</f>
        <v>1</v>
      </c>
      <c r="M8" s="332">
        <f>[11]STA_SP2_NO!$C$37</f>
        <v>0</v>
      </c>
      <c r="N8" s="249">
        <f t="shared" si="0"/>
        <v>4</v>
      </c>
    </row>
    <row r="9" spans="1:15" x14ac:dyDescent="0.25">
      <c r="A9" s="32">
        <v>5</v>
      </c>
      <c r="B9" s="33" t="s">
        <v>42</v>
      </c>
      <c r="C9" s="62">
        <f>[1]STA_SP2_NO!$C$38</f>
        <v>0</v>
      </c>
      <c r="D9" s="118">
        <f>[2]STA_SP2_NO!$C$38</f>
        <v>0</v>
      </c>
      <c r="E9" s="62">
        <f>[3]STA_SP2_NO!$C$38</f>
        <v>5</v>
      </c>
      <c r="F9" s="118">
        <f>[4]STA_SP2_NO!$C$38</f>
        <v>0</v>
      </c>
      <c r="G9" s="391">
        <f>[5]STA_SP2_NO!$C$38</f>
        <v>0</v>
      </c>
      <c r="H9" s="54">
        <f>[6]STA_SP2_NO!$C$38</f>
        <v>0</v>
      </c>
      <c r="I9" s="61">
        <f>[7]STA_SP2_NO!$C$38</f>
        <v>0</v>
      </c>
      <c r="J9" s="54">
        <f>[8]STA_SP2_NO!$C$38</f>
        <v>0</v>
      </c>
      <c r="K9" s="61">
        <f>[9]STA_SP2_NO!$C$38</f>
        <v>6</v>
      </c>
      <c r="L9" s="390">
        <f>[10]STA_SP2_NO!$C$38</f>
        <v>0</v>
      </c>
      <c r="M9" s="332">
        <f>[11]STA_SP2_NO!$C$38</f>
        <v>0</v>
      </c>
      <c r="N9" s="249">
        <f t="shared" si="0"/>
        <v>11</v>
      </c>
    </row>
    <row r="10" spans="1:15" x14ac:dyDescent="0.25">
      <c r="A10" s="32">
        <v>6</v>
      </c>
      <c r="B10" s="33" t="s">
        <v>43</v>
      </c>
      <c r="C10" s="62">
        <f>[1]STA_SP2_NO!$C$39</f>
        <v>6</v>
      </c>
      <c r="D10" s="118">
        <f>[2]STA_SP2_NO!$C$39</f>
        <v>4</v>
      </c>
      <c r="E10" s="62">
        <f>[3]STA_SP2_NO!$C$39</f>
        <v>10</v>
      </c>
      <c r="F10" s="118">
        <f>[4]STA_SP2_NO!$C$39</f>
        <v>6</v>
      </c>
      <c r="G10" s="391">
        <f>[5]STA_SP2_NO!$C$39</f>
        <v>3</v>
      </c>
      <c r="H10" s="54">
        <f>[6]STA_SP2_NO!$C$39</f>
        <v>0</v>
      </c>
      <c r="I10" s="61">
        <f>[7]STA_SP2_NO!$C$39</f>
        <v>0</v>
      </c>
      <c r="J10" s="54">
        <f>[8]STA_SP2_NO!$C$39</f>
        <v>2</v>
      </c>
      <c r="K10" s="61">
        <f>[9]STA_SP2_NO!$C$39</f>
        <v>201</v>
      </c>
      <c r="L10" s="390">
        <f>[10]STA_SP2_NO!$C$39</f>
        <v>3</v>
      </c>
      <c r="M10" s="332">
        <f>[11]STA_SP2_NO!$C$39</f>
        <v>0</v>
      </c>
      <c r="N10" s="249">
        <f t="shared" si="0"/>
        <v>235</v>
      </c>
    </row>
    <row r="11" spans="1:15" x14ac:dyDescent="0.25">
      <c r="A11" s="32">
        <v>7</v>
      </c>
      <c r="B11" s="33" t="s">
        <v>44</v>
      </c>
      <c r="C11" s="62">
        <f>[1]STA_SP2_NO!$C$40</f>
        <v>7</v>
      </c>
      <c r="D11" s="118">
        <f>[2]STA_SP2_NO!$C$40</f>
        <v>0</v>
      </c>
      <c r="E11" s="62">
        <f>[3]STA_SP2_NO!$C$40</f>
        <v>51</v>
      </c>
      <c r="F11" s="118">
        <f>[4]STA_SP2_NO!$C$40</f>
        <v>3</v>
      </c>
      <c r="G11" s="391">
        <f>[5]STA_SP2_NO!$C$40</f>
        <v>5</v>
      </c>
      <c r="H11" s="54">
        <f>[6]STA_SP2_NO!$C$40</f>
        <v>0</v>
      </c>
      <c r="I11" s="61">
        <f>[7]STA_SP2_NO!$C$40</f>
        <v>0</v>
      </c>
      <c r="J11" s="54">
        <f>[8]STA_SP2_NO!$C$40</f>
        <v>6</v>
      </c>
      <c r="K11" s="61">
        <f>[9]STA_SP2_NO!$C$40</f>
        <v>137</v>
      </c>
      <c r="L11" s="390">
        <f>[10]STA_SP2_NO!$C$40</f>
        <v>2</v>
      </c>
      <c r="M11" s="332">
        <f>[11]STA_SP2_NO!$C$40</f>
        <v>0</v>
      </c>
      <c r="N11" s="249">
        <f t="shared" si="0"/>
        <v>211</v>
      </c>
    </row>
    <row r="12" spans="1:15" ht="15.75" thickBot="1" x14ac:dyDescent="0.3">
      <c r="A12" s="34">
        <v>8</v>
      </c>
      <c r="B12" s="35" t="s">
        <v>45</v>
      </c>
      <c r="C12" s="62">
        <f>[1]STA_SP2_NO!$C$41</f>
        <v>0</v>
      </c>
      <c r="D12" s="118">
        <f>[2]STA_SP2_NO!$C$41</f>
        <v>0</v>
      </c>
      <c r="E12" s="62">
        <f>[3]STA_SP2_NO!$C$41</f>
        <v>0</v>
      </c>
      <c r="F12" s="118">
        <f>[4]STA_SP2_NO!$C$41</f>
        <v>0</v>
      </c>
      <c r="G12" s="391">
        <f>[5]STA_SP2_NO!$C$41</f>
        <v>0</v>
      </c>
      <c r="H12" s="54">
        <f>[6]STA_SP2_NO!$C$41</f>
        <v>0</v>
      </c>
      <c r="I12" s="61">
        <f>[7]STA_SP2_NO!$C$41</f>
        <v>0</v>
      </c>
      <c r="J12" s="54">
        <f>[8]STA_SP2_NO!$C$41</f>
        <v>0</v>
      </c>
      <c r="K12" s="61">
        <f>[9]STA_SP2_NO!$C$41</f>
        <v>0</v>
      </c>
      <c r="L12" s="390">
        <f>[10]STA_SP2_NO!$C$41</f>
        <v>0</v>
      </c>
      <c r="M12" s="332">
        <f>[11]STA_SP2_NO!$C$41</f>
        <v>0</v>
      </c>
      <c r="N12" s="249">
        <f t="shared" si="0"/>
        <v>0</v>
      </c>
    </row>
    <row r="13" spans="1:15" ht="15.75" thickBot="1" x14ac:dyDescent="0.3">
      <c r="A13" s="36"/>
      <c r="B13" s="37" t="s">
        <v>36</v>
      </c>
      <c r="C13" s="41">
        <f t="shared" ref="C13:F13" si="1">SUM(C5:C12)</f>
        <v>197</v>
      </c>
      <c r="D13" s="39">
        <f t="shared" si="1"/>
        <v>54</v>
      </c>
      <c r="E13" s="41">
        <f t="shared" si="1"/>
        <v>9204</v>
      </c>
      <c r="F13" s="39">
        <f t="shared" si="1"/>
        <v>117</v>
      </c>
      <c r="G13" s="392">
        <f t="shared" ref="G13:M13" si="2">SUM(G5:G12)</f>
        <v>126</v>
      </c>
      <c r="H13" s="39">
        <f t="shared" si="2"/>
        <v>6057</v>
      </c>
      <c r="I13" s="41">
        <f t="shared" si="2"/>
        <v>286</v>
      </c>
      <c r="J13" s="39">
        <f t="shared" si="2"/>
        <v>60</v>
      </c>
      <c r="K13" s="41">
        <f t="shared" si="2"/>
        <v>1729</v>
      </c>
      <c r="L13" s="380">
        <f t="shared" si="2"/>
        <v>58</v>
      </c>
      <c r="M13" s="333">
        <f t="shared" si="2"/>
        <v>0</v>
      </c>
      <c r="N13" s="250">
        <f t="shared" si="0"/>
        <v>17888</v>
      </c>
    </row>
    <row r="14" spans="1:15" ht="15.75" thickBot="1" x14ac:dyDescent="0.3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469" t="s">
        <v>52</v>
      </c>
      <c r="B15" s="520"/>
      <c r="C15" s="55">
        <f>C13/N13</f>
        <v>1.1012969588550983E-2</v>
      </c>
      <c r="D15" s="56">
        <f>D13/N13</f>
        <v>3.0187835420393558E-3</v>
      </c>
      <c r="E15" s="48">
        <f>E13/N13</f>
        <v>0.51453488372093026</v>
      </c>
      <c r="F15" s="47">
        <f>F13/N13</f>
        <v>6.540697674418605E-3</v>
      </c>
      <c r="G15" s="70">
        <f>G13/N13</f>
        <v>7.0438282647584975E-3</v>
      </c>
      <c r="H15" s="47">
        <f>H13/N13</f>
        <v>0.33860688729874777</v>
      </c>
      <c r="I15" s="70">
        <f>I13/N13</f>
        <v>1.5988372093023256E-2</v>
      </c>
      <c r="J15" s="47">
        <f>J13/N13</f>
        <v>3.3542039355992843E-3</v>
      </c>
      <c r="K15" s="70">
        <f>K13/N13</f>
        <v>9.6656976744186052E-2</v>
      </c>
      <c r="L15" s="389">
        <f>L13/N13</f>
        <v>3.2423971377459749E-3</v>
      </c>
      <c r="M15" s="342">
        <f>M13/N13</f>
        <v>0</v>
      </c>
      <c r="N15" s="258">
        <f>SUM(C15:M15)</f>
        <v>1</v>
      </c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4" ht="15.75" thickBot="1" x14ac:dyDescent="0.3">
      <c r="A17" s="26"/>
      <c r="B17" s="26"/>
      <c r="C17" s="457" t="s">
        <v>109</v>
      </c>
      <c r="D17" s="458"/>
      <c r="E17" s="458"/>
      <c r="F17" s="458"/>
      <c r="G17" s="458"/>
      <c r="H17" s="458"/>
      <c r="I17" s="458"/>
      <c r="J17" s="459"/>
      <c r="K17" s="459"/>
      <c r="L17" s="26"/>
      <c r="M17" s="26"/>
      <c r="N17" s="155" t="s">
        <v>35</v>
      </c>
    </row>
    <row r="18" spans="1:14" ht="15.75" thickBot="1" x14ac:dyDescent="0.3">
      <c r="A18" s="460" t="s">
        <v>0</v>
      </c>
      <c r="B18" s="534" t="s">
        <v>1</v>
      </c>
      <c r="C18" s="377" t="s">
        <v>2</v>
      </c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507" t="s">
        <v>3</v>
      </c>
    </row>
    <row r="19" spans="1:14" x14ac:dyDescent="0.25">
      <c r="A19" s="499"/>
      <c r="B19" s="501"/>
      <c r="C19" s="533" t="s">
        <v>68</v>
      </c>
      <c r="D19" s="462" t="s">
        <v>4</v>
      </c>
      <c r="E19" s="503" t="s">
        <v>5</v>
      </c>
      <c r="F19" s="462" t="s">
        <v>6</v>
      </c>
      <c r="G19" s="503" t="s">
        <v>8</v>
      </c>
      <c r="H19" s="462" t="s">
        <v>93</v>
      </c>
      <c r="I19" s="503" t="s">
        <v>96</v>
      </c>
      <c r="J19" s="505" t="s">
        <v>9</v>
      </c>
      <c r="K19" s="503" t="s">
        <v>92</v>
      </c>
      <c r="L19" s="462" t="s">
        <v>10</v>
      </c>
      <c r="M19" s="530" t="s">
        <v>95</v>
      </c>
      <c r="N19" s="508"/>
    </row>
    <row r="20" spans="1:14" ht="15.75" thickBot="1" x14ac:dyDescent="0.3">
      <c r="A20" s="500"/>
      <c r="B20" s="502"/>
      <c r="C20" s="528"/>
      <c r="D20" s="500"/>
      <c r="E20" s="500"/>
      <c r="F20" s="500"/>
      <c r="G20" s="504"/>
      <c r="H20" s="463"/>
      <c r="I20" s="504"/>
      <c r="J20" s="506"/>
      <c r="K20" s="504"/>
      <c r="L20" s="463"/>
      <c r="M20" s="532"/>
      <c r="N20" s="509"/>
    </row>
    <row r="21" spans="1:14" x14ac:dyDescent="0.25">
      <c r="A21" s="30">
        <v>1</v>
      </c>
      <c r="B21" s="31" t="s">
        <v>38</v>
      </c>
      <c r="C21" s="62">
        <f>[1]STA_SP2_NO!$D$34</f>
        <v>1318.46</v>
      </c>
      <c r="D21" s="118">
        <f>[2]STA_SP2_NO!$D$34</f>
        <v>440.34</v>
      </c>
      <c r="E21" s="62">
        <f>[3]STA_SP2_NO!$D$34</f>
        <v>28771</v>
      </c>
      <c r="F21" s="118">
        <f>[4]STA_SP2_NO!$D$34</f>
        <v>735.59</v>
      </c>
      <c r="G21" s="391">
        <f>[5]STA_SP2_NO!$D$34</f>
        <v>765</v>
      </c>
      <c r="H21" s="54">
        <f>[6]STA_SP2_NO!$D$34</f>
        <v>21181.03</v>
      </c>
      <c r="I21" s="61">
        <f>[7]STA_SP2_NO!$D$34</f>
        <v>1783</v>
      </c>
      <c r="J21" s="54">
        <f>[8]STA_SP2_NO!$D$34</f>
        <v>328</v>
      </c>
      <c r="K21" s="61">
        <f>[9]STA_SP2_NO!$D$34</f>
        <v>4865.34</v>
      </c>
      <c r="L21" s="390">
        <f>[10]STA_SP2_NO!$D$34</f>
        <v>405</v>
      </c>
      <c r="M21" s="393">
        <f>[11]STA_SP2_NO!$D$34</f>
        <v>0</v>
      </c>
      <c r="N21" s="249">
        <f t="shared" ref="N21:N29" si="3">SUM(C21:M21)</f>
        <v>60592.759999999995</v>
      </c>
    </row>
    <row r="22" spans="1:14" x14ac:dyDescent="0.25">
      <c r="A22" s="32">
        <v>2</v>
      </c>
      <c r="B22" s="33" t="s">
        <v>39</v>
      </c>
      <c r="C22" s="62">
        <f>[1]STA_SP2_NO!$D$35</f>
        <v>7.39</v>
      </c>
      <c r="D22" s="118">
        <f>[2]STA_SP2_NO!$D$35</f>
        <v>0</v>
      </c>
      <c r="E22" s="62">
        <f>[3]STA_SP2_NO!$D$35</f>
        <v>939</v>
      </c>
      <c r="F22" s="118">
        <f>[4]STA_SP2_NO!$D$35</f>
        <v>7.4</v>
      </c>
      <c r="G22" s="391">
        <f>[5]STA_SP2_NO!$D$35</f>
        <v>7</v>
      </c>
      <c r="H22" s="54">
        <f>[6]STA_SP2_NO!$D$35</f>
        <v>0</v>
      </c>
      <c r="I22" s="61">
        <f>[7]STA_SP2_NO!$D$35</f>
        <v>0</v>
      </c>
      <c r="J22" s="54">
        <f>[8]STA_SP2_NO!$D$35</f>
        <v>0</v>
      </c>
      <c r="K22" s="61">
        <f>[9]STA_SP2_NO!$D$35</f>
        <v>242.99</v>
      </c>
      <c r="L22" s="390">
        <f>[10]STA_SP2_NO!$D$35</f>
        <v>0</v>
      </c>
      <c r="M22" s="393">
        <f>[11]STA_SP2_NO!$D$35</f>
        <v>0</v>
      </c>
      <c r="N22" s="249">
        <f t="shared" si="3"/>
        <v>1203.78</v>
      </c>
    </row>
    <row r="23" spans="1:14" x14ac:dyDescent="0.25">
      <c r="A23" s="32">
        <v>3</v>
      </c>
      <c r="B23" s="33" t="s">
        <v>40</v>
      </c>
      <c r="C23" s="62">
        <f>[1]STA_SP2_NO!$D$36</f>
        <v>0</v>
      </c>
      <c r="D23" s="118">
        <f>[2]STA_SP2_NO!$D$36</f>
        <v>0</v>
      </c>
      <c r="E23" s="62">
        <f>[3]STA_SP2_NO!$D$36</f>
        <v>74</v>
      </c>
      <c r="F23" s="118">
        <f>[4]STA_SP2_NO!$D$36</f>
        <v>0</v>
      </c>
      <c r="G23" s="391">
        <f>[5]STA_SP2_NO!$D$36</f>
        <v>0</v>
      </c>
      <c r="H23" s="54">
        <f>[6]STA_SP2_NO!$D$36</f>
        <v>0</v>
      </c>
      <c r="I23" s="61">
        <f>[7]STA_SP2_NO!$D$36</f>
        <v>0</v>
      </c>
      <c r="J23" s="54">
        <f>[8]STA_SP2_NO!$D$36</f>
        <v>0</v>
      </c>
      <c r="K23" s="61">
        <f>[9]STA_SP2_NO!$D$36</f>
        <v>71.55</v>
      </c>
      <c r="L23" s="390">
        <f>[10]STA_SP2_NO!$D$36</f>
        <v>0</v>
      </c>
      <c r="M23" s="393">
        <f>[11]STA_SP2_NO!$D$36</f>
        <v>0</v>
      </c>
      <c r="N23" s="249">
        <f t="shared" si="3"/>
        <v>145.55000000000001</v>
      </c>
    </row>
    <row r="24" spans="1:14" x14ac:dyDescent="0.25">
      <c r="A24" s="32">
        <v>4</v>
      </c>
      <c r="B24" s="33" t="s">
        <v>41</v>
      </c>
      <c r="C24" s="62">
        <f>[1]STA_SP2_NO!$D$37</f>
        <v>0</v>
      </c>
      <c r="D24" s="118">
        <f>[2]STA_SP2_NO!$D$37</f>
        <v>0</v>
      </c>
      <c r="E24" s="62">
        <f>[3]STA_SP2_NO!$D$37</f>
        <v>29</v>
      </c>
      <c r="F24" s="118">
        <f>[4]STA_SP2_NO!$D$37</f>
        <v>0</v>
      </c>
      <c r="G24" s="391">
        <f>[5]STA_SP2_NO!$D$37</f>
        <v>0</v>
      </c>
      <c r="H24" s="54">
        <f>[6]STA_SP2_NO!$D$37</f>
        <v>0</v>
      </c>
      <c r="I24" s="61">
        <f>[7]STA_SP2_NO!$D$37</f>
        <v>0</v>
      </c>
      <c r="J24" s="54">
        <f>[8]STA_SP2_NO!$D$37</f>
        <v>0</v>
      </c>
      <c r="K24" s="61">
        <f>[9]STA_SP2_NO!$D$37</f>
        <v>0</v>
      </c>
      <c r="L24" s="390">
        <f>[10]STA_SP2_NO!$D$37</f>
        <v>1</v>
      </c>
      <c r="M24" s="393">
        <f>[11]STA_SP2_NO!$D$37</f>
        <v>0</v>
      </c>
      <c r="N24" s="249">
        <f t="shared" si="3"/>
        <v>30</v>
      </c>
    </row>
    <row r="25" spans="1:14" x14ac:dyDescent="0.25">
      <c r="A25" s="32">
        <v>5</v>
      </c>
      <c r="B25" s="33" t="s">
        <v>42</v>
      </c>
      <c r="C25" s="62">
        <f>[1]STA_SP2_NO!$D$38</f>
        <v>0</v>
      </c>
      <c r="D25" s="118">
        <f>[2]STA_SP2_NO!$D$38</f>
        <v>0</v>
      </c>
      <c r="E25" s="62">
        <f>[3]STA_SP2_NO!$D$38</f>
        <v>48</v>
      </c>
      <c r="F25" s="118">
        <f>[4]STA_SP2_NO!$D$38</f>
        <v>0</v>
      </c>
      <c r="G25" s="391">
        <f>[5]STA_SP2_NO!$D$38</f>
        <v>0</v>
      </c>
      <c r="H25" s="54">
        <f>[6]STA_SP2_NO!$D$38</f>
        <v>0</v>
      </c>
      <c r="I25" s="61">
        <f>[7]STA_SP2_NO!$D$38</f>
        <v>0</v>
      </c>
      <c r="J25" s="54">
        <f>[8]STA_SP2_NO!$D$38</f>
        <v>0</v>
      </c>
      <c r="K25" s="61">
        <f>[9]STA_SP2_NO!$D$38</f>
        <v>14.8</v>
      </c>
      <c r="L25" s="390">
        <f>[10]STA_SP2_NO!$D$38</f>
        <v>0</v>
      </c>
      <c r="M25" s="393">
        <f>[11]STA_SP2_NO!$D$38</f>
        <v>0</v>
      </c>
      <c r="N25" s="249">
        <f t="shared" si="3"/>
        <v>62.8</v>
      </c>
    </row>
    <row r="26" spans="1:14" x14ac:dyDescent="0.25">
      <c r="A26" s="32">
        <v>6</v>
      </c>
      <c r="B26" s="33" t="s">
        <v>43</v>
      </c>
      <c r="C26" s="62">
        <f>[1]STA_SP2_NO!$D$39</f>
        <v>41.34</v>
      </c>
      <c r="D26" s="118">
        <f>[2]STA_SP2_NO!$D$39</f>
        <v>28.9</v>
      </c>
      <c r="E26" s="62">
        <f>[3]STA_SP2_NO!$D$39</f>
        <v>31</v>
      </c>
      <c r="F26" s="118">
        <f>[4]STA_SP2_NO!$D$39</f>
        <v>35.159999999999997</v>
      </c>
      <c r="G26" s="391">
        <f>[5]STA_SP2_NO!$D$39</f>
        <v>13</v>
      </c>
      <c r="H26" s="54">
        <f>[6]STA_SP2_NO!$D$39</f>
        <v>0</v>
      </c>
      <c r="I26" s="61">
        <f>[7]STA_SP2_NO!$D$39</f>
        <v>0</v>
      </c>
      <c r="J26" s="54">
        <f>[8]STA_SP2_NO!$D$39</f>
        <v>20</v>
      </c>
      <c r="K26" s="61">
        <f>[9]STA_SP2_NO!$D$39</f>
        <v>653.87</v>
      </c>
      <c r="L26" s="390">
        <f>[10]STA_SP2_NO!$D$39</f>
        <v>13</v>
      </c>
      <c r="M26" s="393">
        <f>[11]STA_SP2_NO!$D$39</f>
        <v>0</v>
      </c>
      <c r="N26" s="249">
        <f t="shared" si="3"/>
        <v>836.27</v>
      </c>
    </row>
    <row r="27" spans="1:14" x14ac:dyDescent="0.25">
      <c r="A27" s="32">
        <v>7</v>
      </c>
      <c r="B27" s="33" t="s">
        <v>44</v>
      </c>
      <c r="C27" s="62">
        <f>[1]STA_SP2_NO!$D$40</f>
        <v>7.09</v>
      </c>
      <c r="D27" s="118">
        <f>[2]STA_SP2_NO!$D$40</f>
        <v>0</v>
      </c>
      <c r="E27" s="62">
        <f>[3]STA_SP2_NO!$D$40</f>
        <v>34</v>
      </c>
      <c r="F27" s="118">
        <f>[4]STA_SP2_NO!$D$40</f>
        <v>1.54</v>
      </c>
      <c r="G27" s="391">
        <f>[5]STA_SP2_NO!$D$40</f>
        <v>3</v>
      </c>
      <c r="H27" s="54">
        <f>[6]STA_SP2_NO!$D$40</f>
        <v>0</v>
      </c>
      <c r="I27" s="61">
        <f>[7]STA_SP2_NO!$D$40</f>
        <v>0</v>
      </c>
      <c r="J27" s="54">
        <f>[8]STA_SP2_NO!$D$40</f>
        <v>7</v>
      </c>
      <c r="K27" s="61">
        <f>[9]STA_SP2_NO!$D$40</f>
        <v>245.03</v>
      </c>
      <c r="L27" s="390">
        <f>[10]STA_SP2_NO!$D$40</f>
        <v>2</v>
      </c>
      <c r="M27" s="393">
        <f>[11]STA_SP2_NO!$D$40</f>
        <v>0</v>
      </c>
      <c r="N27" s="249">
        <f t="shared" si="3"/>
        <v>299.66000000000003</v>
      </c>
    </row>
    <row r="28" spans="1:14" ht="15.75" thickBot="1" x14ac:dyDescent="0.3">
      <c r="A28" s="34">
        <v>8</v>
      </c>
      <c r="B28" s="35" t="s">
        <v>45</v>
      </c>
      <c r="C28" s="62">
        <f>[1]STA_SP2_NO!$D$41</f>
        <v>0</v>
      </c>
      <c r="D28" s="118">
        <f>[2]STA_SP2_NO!$D$41</f>
        <v>0</v>
      </c>
      <c r="E28" s="62">
        <f>[3]STA_SP2_NO!$D$41</f>
        <v>0</v>
      </c>
      <c r="F28" s="118">
        <f>[4]STA_SP2_NO!$D$41</f>
        <v>0</v>
      </c>
      <c r="G28" s="391">
        <f>[5]STA_SP2_NO!$D$41</f>
        <v>0</v>
      </c>
      <c r="H28" s="54">
        <f>[6]STA_SP2_NO!$D$41</f>
        <v>0</v>
      </c>
      <c r="I28" s="61">
        <f>[7]STA_SP2_NO!$D$41</f>
        <v>0</v>
      </c>
      <c r="J28" s="54">
        <f>[8]STA_SP2_NO!$D$41</f>
        <v>0</v>
      </c>
      <c r="K28" s="61">
        <f>[9]STA_SP2_NO!$D$41</f>
        <v>0</v>
      </c>
      <c r="L28" s="390">
        <f>[10]STA_SP2_NO!$D$41</f>
        <v>0</v>
      </c>
      <c r="M28" s="393">
        <f>[11]STA_SP2_NO!$D$41</f>
        <v>0</v>
      </c>
      <c r="N28" s="249">
        <f t="shared" si="3"/>
        <v>0</v>
      </c>
    </row>
    <row r="29" spans="1:14" ht="15.75" thickBot="1" x14ac:dyDescent="0.3">
      <c r="A29" s="36"/>
      <c r="B29" s="37" t="s">
        <v>36</v>
      </c>
      <c r="C29" s="41">
        <f t="shared" ref="C29:F29" si="4">SUM(C21:C28)</f>
        <v>1374.28</v>
      </c>
      <c r="D29" s="51">
        <f>SUM(D21:D28)</f>
        <v>469.23999999999995</v>
      </c>
      <c r="E29" s="41">
        <f t="shared" si="4"/>
        <v>29926</v>
      </c>
      <c r="F29" s="39">
        <f t="shared" si="4"/>
        <v>779.68999999999994</v>
      </c>
      <c r="G29" s="392">
        <f t="shared" ref="G29:M29" si="5">SUM(G21:G28)</f>
        <v>788</v>
      </c>
      <c r="H29" s="39">
        <f t="shared" si="5"/>
        <v>21181.03</v>
      </c>
      <c r="I29" s="41">
        <f t="shared" si="5"/>
        <v>1783</v>
      </c>
      <c r="J29" s="39">
        <f t="shared" si="5"/>
        <v>355</v>
      </c>
      <c r="K29" s="41">
        <f t="shared" si="5"/>
        <v>6093.58</v>
      </c>
      <c r="L29" s="380">
        <f t="shared" si="5"/>
        <v>421</v>
      </c>
      <c r="M29" s="333">
        <f t="shared" si="5"/>
        <v>0</v>
      </c>
      <c r="N29" s="250">
        <f t="shared" si="3"/>
        <v>63170.82</v>
      </c>
    </row>
    <row r="30" spans="1:14" ht="15.75" thickBot="1" x14ac:dyDescent="0.3">
      <c r="A30" s="1"/>
      <c r="B30" s="1"/>
      <c r="C30" s="1"/>
      <c r="D30" s="1"/>
      <c r="E30" s="1"/>
      <c r="F30" s="1"/>
      <c r="G30" s="341"/>
      <c r="H30" s="1"/>
      <c r="I30" s="341"/>
      <c r="J30" s="1"/>
      <c r="K30" s="341"/>
      <c r="L30" s="1"/>
      <c r="M30" s="348"/>
      <c r="N30" s="1"/>
    </row>
    <row r="31" spans="1:14" ht="15.75" thickBot="1" x14ac:dyDescent="0.3">
      <c r="A31" s="469" t="s">
        <v>52</v>
      </c>
      <c r="B31" s="520"/>
      <c r="C31" s="55">
        <f>C29/N29</f>
        <v>2.1754981176435574E-2</v>
      </c>
      <c r="D31" s="56">
        <f>D29/N29</f>
        <v>7.4281131699730973E-3</v>
      </c>
      <c r="E31" s="48">
        <f>E29/N29</f>
        <v>0.47373138420555566</v>
      </c>
      <c r="F31" s="47">
        <f>F29/N29</f>
        <v>1.2342565760583762E-2</v>
      </c>
      <c r="G31" s="70">
        <f>G29/N29</f>
        <v>1.247411383926946E-2</v>
      </c>
      <c r="H31" s="47">
        <f>H29/N29</f>
        <v>0.33529768966114415</v>
      </c>
      <c r="I31" s="70">
        <f>I29/N29</f>
        <v>2.8225057075402852E-2</v>
      </c>
      <c r="J31" s="47">
        <f>J29/N29</f>
        <v>5.6196832651531194E-3</v>
      </c>
      <c r="K31" s="70">
        <f>K29/N29</f>
        <v>9.646194239682182E-2</v>
      </c>
      <c r="L31" s="389">
        <f>L29/N29</f>
        <v>6.66446944966046E-3</v>
      </c>
      <c r="M31" s="342">
        <f>M29/N29</f>
        <v>0</v>
      </c>
      <c r="N31" s="258">
        <f>SUM(C31:M31)</f>
        <v>1</v>
      </c>
    </row>
  </sheetData>
  <mergeCells count="33">
    <mergeCell ref="N18:N20"/>
    <mergeCell ref="L19:L20"/>
    <mergeCell ref="C2:M2"/>
    <mergeCell ref="M3:M4"/>
    <mergeCell ref="M19:M20"/>
    <mergeCell ref="G19:G20"/>
    <mergeCell ref="H19:H20"/>
    <mergeCell ref="I19:I20"/>
    <mergeCell ref="J19:J20"/>
    <mergeCell ref="N2:N4"/>
    <mergeCell ref="C3:C4"/>
    <mergeCell ref="D3:D4"/>
    <mergeCell ref="E3:E4"/>
    <mergeCell ref="F3:F4"/>
    <mergeCell ref="G3:G4"/>
    <mergeCell ref="L3:L4"/>
    <mergeCell ref="C1:K1"/>
    <mergeCell ref="A2:A4"/>
    <mergeCell ref="B2:B4"/>
    <mergeCell ref="H3:H4"/>
    <mergeCell ref="I3:I4"/>
    <mergeCell ref="J3:J4"/>
    <mergeCell ref="K3:K4"/>
    <mergeCell ref="A31:B31"/>
    <mergeCell ref="F19:F20"/>
    <mergeCell ref="A15:B15"/>
    <mergeCell ref="C17:K17"/>
    <mergeCell ref="A18:A20"/>
    <mergeCell ref="B18:B20"/>
    <mergeCell ref="C19:C20"/>
    <mergeCell ref="D19:D20"/>
    <mergeCell ref="E19:E20"/>
    <mergeCell ref="K19:K20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Q8" sqref="Q8"/>
    </sheetView>
  </sheetViews>
  <sheetFormatPr defaultRowHeight="15" x14ac:dyDescent="0.25"/>
  <cols>
    <col min="1" max="1" width="4.5703125" customWidth="1"/>
    <col min="2" max="2" width="26.7109375" customWidth="1"/>
  </cols>
  <sheetData>
    <row r="1" spans="1:14" ht="24.75" customHeight="1" thickBot="1" x14ac:dyDescent="0.3">
      <c r="A1" s="120"/>
      <c r="B1" s="120"/>
      <c r="C1" s="457" t="s">
        <v>110</v>
      </c>
      <c r="D1" s="458"/>
      <c r="E1" s="458"/>
      <c r="F1" s="458"/>
      <c r="G1" s="458"/>
      <c r="H1" s="458"/>
      <c r="I1" s="458"/>
      <c r="J1" s="537"/>
      <c r="K1" s="537"/>
      <c r="L1" s="120"/>
      <c r="M1" s="120"/>
      <c r="N1" s="121"/>
    </row>
    <row r="2" spans="1:14" ht="15.75" thickBot="1" x14ac:dyDescent="0.3">
      <c r="A2" s="460" t="s">
        <v>0</v>
      </c>
      <c r="B2" s="534" t="s">
        <v>1</v>
      </c>
      <c r="C2" s="377" t="s">
        <v>2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540" t="s">
        <v>3</v>
      </c>
    </row>
    <row r="3" spans="1:14" ht="15" customHeight="1" x14ac:dyDescent="0.25">
      <c r="A3" s="499"/>
      <c r="B3" s="501"/>
      <c r="C3" s="543" t="s">
        <v>68</v>
      </c>
      <c r="D3" s="544" t="s">
        <v>4</v>
      </c>
      <c r="E3" s="521" t="s">
        <v>5</v>
      </c>
      <c r="F3" s="462" t="s">
        <v>6</v>
      </c>
      <c r="G3" s="514" t="s">
        <v>8</v>
      </c>
      <c r="H3" s="462" t="s">
        <v>93</v>
      </c>
      <c r="I3" s="503" t="s">
        <v>96</v>
      </c>
      <c r="J3" s="522" t="s">
        <v>37</v>
      </c>
      <c r="K3" s="503" t="s">
        <v>92</v>
      </c>
      <c r="L3" s="462" t="s">
        <v>10</v>
      </c>
      <c r="M3" s="538" t="s">
        <v>95</v>
      </c>
      <c r="N3" s="541"/>
    </row>
    <row r="4" spans="1:14" ht="15.75" thickBot="1" x14ac:dyDescent="0.3">
      <c r="A4" s="500"/>
      <c r="B4" s="502"/>
      <c r="C4" s="511"/>
      <c r="D4" s="513"/>
      <c r="E4" s="500"/>
      <c r="F4" s="500"/>
      <c r="G4" s="515"/>
      <c r="H4" s="463"/>
      <c r="I4" s="504"/>
      <c r="J4" s="524"/>
      <c r="K4" s="504"/>
      <c r="L4" s="463"/>
      <c r="M4" s="539"/>
      <c r="N4" s="542"/>
    </row>
    <row r="5" spans="1:14" ht="15.75" thickBot="1" x14ac:dyDescent="0.3">
      <c r="A5" s="30">
        <v>1</v>
      </c>
      <c r="B5" s="31" t="s">
        <v>38</v>
      </c>
      <c r="C5" s="117">
        <f>[1]STA_SP2_NO!$J$11</f>
        <v>1917</v>
      </c>
      <c r="D5" s="68">
        <f>[2]STA_SP2_NO!$J$11</f>
        <v>924</v>
      </c>
      <c r="E5" s="117">
        <f>[3]STA_SP2_NO!$J$11</f>
        <v>708</v>
      </c>
      <c r="F5" s="118">
        <f>[4]STA_SP2_NO!$J$11</f>
        <v>1016</v>
      </c>
      <c r="G5" s="385">
        <f>[5]STA_SP2_NO!$J$11</f>
        <v>1005</v>
      </c>
      <c r="H5" s="126">
        <f>[6]STA_SP2_NO!$J$11</f>
        <v>1873</v>
      </c>
      <c r="I5" s="143">
        <f>[7]STA_SP2_NO!$J$11</f>
        <v>2608</v>
      </c>
      <c r="J5" s="126">
        <f>[8]STA_SP2_NO!$J$11</f>
        <v>1181</v>
      </c>
      <c r="K5" s="143">
        <f>[9]STA_SP2_NO!$J$11</f>
        <v>797</v>
      </c>
      <c r="L5" s="379">
        <f>[10]STA_SP2_NO!$J$11</f>
        <v>1439</v>
      </c>
      <c r="M5" s="394">
        <f>[11]STA_SP2_NO!$J$11</f>
        <v>61</v>
      </c>
      <c r="N5" s="397">
        <f t="shared" ref="N5:N18" si="0">SUM(C5:M5)</f>
        <v>13529</v>
      </c>
    </row>
    <row r="6" spans="1:14" ht="15.75" thickBot="1" x14ac:dyDescent="0.3">
      <c r="A6" s="32">
        <v>2</v>
      </c>
      <c r="B6" s="33" t="s">
        <v>39</v>
      </c>
      <c r="C6" s="117">
        <f>[1]STA_SP2_NO!$J$12</f>
        <v>265</v>
      </c>
      <c r="D6" s="68">
        <f>[2]STA_SP2_NO!$J$12</f>
        <v>144</v>
      </c>
      <c r="E6" s="117">
        <f>[3]STA_SP2_NO!$J$12</f>
        <v>75</v>
      </c>
      <c r="F6" s="118">
        <f>[4]STA_SP2_NO!$J$12</f>
        <v>182</v>
      </c>
      <c r="G6" s="385">
        <f>[5]STA_SP2_NO!$J$12</f>
        <v>109</v>
      </c>
      <c r="H6" s="126">
        <f>[6]STA_SP2_NO!$J$12</f>
        <v>145</v>
      </c>
      <c r="I6" s="143">
        <f>[7]STA_SP2_NO!$J$12</f>
        <v>331</v>
      </c>
      <c r="J6" s="126">
        <f>[8]STA_SP2_NO!$J$12</f>
        <v>143</v>
      </c>
      <c r="K6" s="143">
        <f>[9]STA_SP2_NO!$J$12</f>
        <v>117</v>
      </c>
      <c r="L6" s="379">
        <f>[10]STA_SP2_NO!$J$12</f>
        <v>150</v>
      </c>
      <c r="M6" s="394">
        <f>[11]STA_SP2_NO!$J$12</f>
        <v>6</v>
      </c>
      <c r="N6" s="397">
        <f t="shared" si="0"/>
        <v>1667</v>
      </c>
    </row>
    <row r="7" spans="1:14" ht="15.75" thickBot="1" x14ac:dyDescent="0.3">
      <c r="A7" s="32">
        <v>3</v>
      </c>
      <c r="B7" s="33" t="s">
        <v>40</v>
      </c>
      <c r="C7" s="117">
        <f>[1]STA_SP2_NO!$J$13</f>
        <v>46</v>
      </c>
      <c r="D7" s="68">
        <f>[2]STA_SP2_NO!$J$13</f>
        <v>4</v>
      </c>
      <c r="E7" s="117">
        <f>[3]STA_SP2_NO!$J$13</f>
        <v>6</v>
      </c>
      <c r="F7" s="118">
        <f>[4]STA_SP2_NO!$J$13</f>
        <v>10</v>
      </c>
      <c r="G7" s="385">
        <f>[5]STA_SP2_NO!$J$13</f>
        <v>5</v>
      </c>
      <c r="H7" s="126">
        <f>[6]STA_SP2_NO!$J$13</f>
        <v>10</v>
      </c>
      <c r="I7" s="143">
        <f>[7]STA_SP2_NO!$J$13</f>
        <v>29</v>
      </c>
      <c r="J7" s="126">
        <f>[8]STA_SP2_NO!$J$13</f>
        <v>15</v>
      </c>
      <c r="K7" s="143">
        <f>[9]STA_SP2_NO!$J$13</f>
        <v>7</v>
      </c>
      <c r="L7" s="379">
        <f>[10]STA_SP2_NO!$J$13</f>
        <v>11</v>
      </c>
      <c r="M7" s="394">
        <f>[11]STA_SP2_NO!$J$13</f>
        <v>0</v>
      </c>
      <c r="N7" s="397">
        <f t="shared" si="0"/>
        <v>143</v>
      </c>
    </row>
    <row r="8" spans="1:14" ht="15.75" thickBot="1" x14ac:dyDescent="0.3">
      <c r="A8" s="32">
        <v>4</v>
      </c>
      <c r="B8" s="33" t="s">
        <v>41</v>
      </c>
      <c r="C8" s="117">
        <f>[1]STA_SP2_NO!$J$14</f>
        <v>9</v>
      </c>
      <c r="D8" s="68">
        <f>[2]STA_SP2_NO!$J$14</f>
        <v>3</v>
      </c>
      <c r="E8" s="117">
        <f>[3]STA_SP2_NO!$J$14</f>
        <v>5</v>
      </c>
      <c r="F8" s="118">
        <f>[4]STA_SP2_NO!$J$14</f>
        <v>6</v>
      </c>
      <c r="G8" s="385">
        <f>[5]STA_SP2_NO!$J$14</f>
        <v>1</v>
      </c>
      <c r="H8" s="126">
        <f>[6]STA_SP2_NO!$J$14</f>
        <v>6</v>
      </c>
      <c r="I8" s="143">
        <f>[7]STA_SP2_NO!$J$14</f>
        <v>7</v>
      </c>
      <c r="J8" s="126">
        <f>[8]STA_SP2_NO!$J$14</f>
        <v>12</v>
      </c>
      <c r="K8" s="143">
        <f>[9]STA_SP2_NO!$J$14</f>
        <v>1</v>
      </c>
      <c r="L8" s="379">
        <f>[10]STA_SP2_NO!$J$14</f>
        <v>5</v>
      </c>
      <c r="M8" s="394">
        <f>[11]STA_SP2_NO!$J$14</f>
        <v>0</v>
      </c>
      <c r="N8" s="397">
        <f t="shared" si="0"/>
        <v>55</v>
      </c>
    </row>
    <row r="9" spans="1:14" ht="15.75" thickBot="1" x14ac:dyDescent="0.3">
      <c r="A9" s="32">
        <v>5</v>
      </c>
      <c r="B9" s="33" t="s">
        <v>42</v>
      </c>
      <c r="C9" s="117">
        <f>[1]STA_SP2_NO!$J$15</f>
        <v>1</v>
      </c>
      <c r="D9" s="68">
        <f>[2]STA_SP2_NO!$J$15</f>
        <v>3</v>
      </c>
      <c r="E9" s="117">
        <f>[3]STA_SP2_NO!$J$15</f>
        <v>1</v>
      </c>
      <c r="F9" s="118">
        <f>[4]STA_SP2_NO!$J$15</f>
        <v>1</v>
      </c>
      <c r="G9" s="385">
        <f>[5]STA_SP2_NO!$J$15</f>
        <v>3</v>
      </c>
      <c r="H9" s="126">
        <f>[6]STA_SP2_NO!$J$15</f>
        <v>18</v>
      </c>
      <c r="I9" s="143">
        <f>[7]STA_SP2_NO!$J$15</f>
        <v>4</v>
      </c>
      <c r="J9" s="126">
        <f>[8]STA_SP2_NO!$J$15</f>
        <v>11</v>
      </c>
      <c r="K9" s="143">
        <f>[9]STA_SP2_NO!$J$15</f>
        <v>0</v>
      </c>
      <c r="L9" s="379">
        <f>[10]STA_SP2_NO!$J$15</f>
        <v>3</v>
      </c>
      <c r="M9" s="394">
        <f>[11]STA_SP2_NO!$J$15</f>
        <v>0</v>
      </c>
      <c r="N9" s="397">
        <f t="shared" si="0"/>
        <v>45</v>
      </c>
    </row>
    <row r="10" spans="1:14" ht="15.75" thickBot="1" x14ac:dyDescent="0.3">
      <c r="A10" s="32">
        <v>6</v>
      </c>
      <c r="B10" s="33" t="s">
        <v>43</v>
      </c>
      <c r="C10" s="117">
        <f>[1]STA_SP2_NO!$J$16</f>
        <v>35</v>
      </c>
      <c r="D10" s="68">
        <f>[2]STA_SP2_NO!$J$16</f>
        <v>14</v>
      </c>
      <c r="E10" s="117">
        <f>[3]STA_SP2_NO!$J$16</f>
        <v>10</v>
      </c>
      <c r="F10" s="118">
        <f>[4]STA_SP2_NO!$J$16</f>
        <v>25</v>
      </c>
      <c r="G10" s="385">
        <f>[5]STA_SP2_NO!$J$16</f>
        <v>6</v>
      </c>
      <c r="H10" s="126">
        <f>[6]STA_SP2_NO!$J$16</f>
        <v>42</v>
      </c>
      <c r="I10" s="143">
        <f>[7]STA_SP2_NO!$J$16</f>
        <v>38</v>
      </c>
      <c r="J10" s="126">
        <f>[8]STA_SP2_NO!$J$16</f>
        <v>16</v>
      </c>
      <c r="K10" s="143">
        <f>[9]STA_SP2_NO!$J$16</f>
        <v>10</v>
      </c>
      <c r="L10" s="379">
        <f>[10]STA_SP2_NO!$J$16</f>
        <v>22</v>
      </c>
      <c r="M10" s="394">
        <f>[11]STA_SP2_NO!$J$16</f>
        <v>0</v>
      </c>
      <c r="N10" s="397">
        <f t="shared" si="0"/>
        <v>218</v>
      </c>
    </row>
    <row r="11" spans="1:14" ht="15.75" thickBot="1" x14ac:dyDescent="0.3">
      <c r="A11" s="32">
        <v>7</v>
      </c>
      <c r="B11" s="33" t="s">
        <v>44</v>
      </c>
      <c r="C11" s="117">
        <f>[1]STA_SP2_NO!$J$17</f>
        <v>2</v>
      </c>
      <c r="D11" s="68">
        <f>[2]STA_SP2_NO!$J$17</f>
        <v>1</v>
      </c>
      <c r="E11" s="117">
        <f>[3]STA_SP2_NO!$J$17</f>
        <v>0</v>
      </c>
      <c r="F11" s="118">
        <f>[4]STA_SP2_NO!$J$17</f>
        <v>0</v>
      </c>
      <c r="G11" s="385">
        <f>[5]STA_SP2_NO!$J$17</f>
        <v>0</v>
      </c>
      <c r="H11" s="126">
        <f>[6]STA_SP2_NO!$J$17</f>
        <v>3</v>
      </c>
      <c r="I11" s="143">
        <f>[7]STA_SP2_NO!$J$17</f>
        <v>1</v>
      </c>
      <c r="J11" s="126">
        <f>[8]STA_SP2_NO!$J$17</f>
        <v>1</v>
      </c>
      <c r="K11" s="143">
        <f>[9]STA_SP2_NO!$J$17</f>
        <v>1</v>
      </c>
      <c r="L11" s="379">
        <f>[10]STA_SP2_NO!$J$17</f>
        <v>1</v>
      </c>
      <c r="M11" s="394">
        <f>[11]STA_SP2_NO!$J$17</f>
        <v>0</v>
      </c>
      <c r="N11" s="397">
        <f t="shared" si="0"/>
        <v>10</v>
      </c>
    </row>
    <row r="12" spans="1:14" ht="15.75" thickBot="1" x14ac:dyDescent="0.3">
      <c r="A12" s="32">
        <v>8</v>
      </c>
      <c r="B12" s="33" t="s">
        <v>45</v>
      </c>
      <c r="C12" s="117">
        <f>[1]STA_SP2_NO!$J$18</f>
        <v>10</v>
      </c>
      <c r="D12" s="68">
        <f>[2]STA_SP2_NO!$J$18</f>
        <v>2</v>
      </c>
      <c r="E12" s="117">
        <f>[3]STA_SP2_NO!$J$18</f>
        <v>10</v>
      </c>
      <c r="F12" s="118">
        <f>[4]STA_SP2_NO!$J$18</f>
        <v>2</v>
      </c>
      <c r="G12" s="385">
        <f>[5]STA_SP2_NO!$J$18</f>
        <v>3</v>
      </c>
      <c r="H12" s="126">
        <f>[6]STA_SP2_NO!$J$18</f>
        <v>0</v>
      </c>
      <c r="I12" s="143">
        <f>[7]STA_SP2_NO!$J$18</f>
        <v>4</v>
      </c>
      <c r="J12" s="126">
        <f>[8]STA_SP2_NO!$J$18</f>
        <v>21</v>
      </c>
      <c r="K12" s="143">
        <f>[9]STA_SP2_NO!$J$18</f>
        <v>1</v>
      </c>
      <c r="L12" s="379">
        <f>[10]STA_SP2_NO!$J$18</f>
        <v>4</v>
      </c>
      <c r="M12" s="394">
        <f>[11]STA_SP2_NO!$J$18</f>
        <v>0</v>
      </c>
      <c r="N12" s="397">
        <f t="shared" si="0"/>
        <v>57</v>
      </c>
    </row>
    <row r="13" spans="1:14" ht="23.25" thickBot="1" x14ac:dyDescent="0.3">
      <c r="A13" s="32">
        <v>9</v>
      </c>
      <c r="B13" s="53" t="s">
        <v>46</v>
      </c>
      <c r="C13" s="117">
        <f>[1]STA_SP2_NO!$J$19</f>
        <v>0</v>
      </c>
      <c r="D13" s="68">
        <f>[2]STA_SP2_NO!$J$19</f>
        <v>0</v>
      </c>
      <c r="E13" s="117">
        <f>[3]STA_SP2_NO!$J$19</f>
        <v>0</v>
      </c>
      <c r="F13" s="118">
        <f>[4]STA_SP2_NO!$J$19</f>
        <v>0</v>
      </c>
      <c r="G13" s="385">
        <f>[5]STA_SP2_NO!$J$19</f>
        <v>0</v>
      </c>
      <c r="H13" s="126">
        <f>[6]STA_SP2_NO!$J$19</f>
        <v>0</v>
      </c>
      <c r="I13" s="143">
        <f>[7]STA_SP2_NO!$J$19</f>
        <v>0</v>
      </c>
      <c r="J13" s="126">
        <f>[8]STA_SP2_NO!$J$19</f>
        <v>0</v>
      </c>
      <c r="K13" s="143">
        <f>[9]STA_SP2_NO!$J$19</f>
        <v>0</v>
      </c>
      <c r="L13" s="379">
        <f>[10]STA_SP2_NO!$J$19</f>
        <v>0</v>
      </c>
      <c r="M13" s="394">
        <f>[11]STA_SP2_NO!$J$19</f>
        <v>0</v>
      </c>
      <c r="N13" s="397">
        <f t="shared" si="0"/>
        <v>0</v>
      </c>
    </row>
    <row r="14" spans="1:14" ht="27" customHeight="1" thickBot="1" x14ac:dyDescent="0.3">
      <c r="A14" s="32">
        <v>10</v>
      </c>
      <c r="B14" s="53" t="s">
        <v>47</v>
      </c>
      <c r="C14" s="117">
        <f>[1]STA_SP2_NO!$J$20</f>
        <v>0</v>
      </c>
      <c r="D14" s="68">
        <f>[2]STA_SP2_NO!$J$20</f>
        <v>0</v>
      </c>
      <c r="E14" s="117">
        <f>[3]STA_SP2_NO!$J$20</f>
        <v>0</v>
      </c>
      <c r="F14" s="118">
        <f>[4]STA_SP2_NO!$J$20</f>
        <v>0</v>
      </c>
      <c r="G14" s="385">
        <f>[5]STA_SP2_NO!$J$20</f>
        <v>0</v>
      </c>
      <c r="H14" s="126">
        <f>[6]STA_SP2_NO!$J$20</f>
        <v>0</v>
      </c>
      <c r="I14" s="143">
        <f>[7]STA_SP2_NO!$J$20</f>
        <v>0</v>
      </c>
      <c r="J14" s="126">
        <f>[8]STA_SP2_NO!$J$20</f>
        <v>0</v>
      </c>
      <c r="K14" s="143">
        <f>[9]STA_SP2_NO!$J$20</f>
        <v>0</v>
      </c>
      <c r="L14" s="379">
        <f>[10]STA_SP2_NO!$J$20</f>
        <v>0</v>
      </c>
      <c r="M14" s="394">
        <f>[11]STA_SP2_NO!$J$20</f>
        <v>0</v>
      </c>
      <c r="N14" s="397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117">
        <f>[1]STA_SP2_NO!$J$21</f>
        <v>0</v>
      </c>
      <c r="D15" s="68">
        <f>[2]STA_SP2_NO!$J$21</f>
        <v>0</v>
      </c>
      <c r="E15" s="117">
        <f>[3]STA_SP2_NO!$J$21</f>
        <v>0</v>
      </c>
      <c r="F15" s="118">
        <f>[4]STA_SP2_NO!$J$21</f>
        <v>0</v>
      </c>
      <c r="G15" s="385">
        <f>[5]STA_SP2_NO!$J$21</f>
        <v>0</v>
      </c>
      <c r="H15" s="126">
        <f>[6]STA_SP2_NO!$J$21</f>
        <v>0</v>
      </c>
      <c r="I15" s="143">
        <f>[7]STA_SP2_NO!$J$21</f>
        <v>0</v>
      </c>
      <c r="J15" s="126">
        <f>[8]STA_SP2_NO!$J$21</f>
        <v>0</v>
      </c>
      <c r="K15" s="143">
        <f>[9]STA_SP2_NO!$J$21</f>
        <v>0</v>
      </c>
      <c r="L15" s="379">
        <f>[10]STA_SP2_NO!$J$21</f>
        <v>0</v>
      </c>
      <c r="M15" s="394">
        <f>[11]STA_SP2_NO!$J$21</f>
        <v>0</v>
      </c>
      <c r="N15" s="397">
        <f t="shared" si="0"/>
        <v>0</v>
      </c>
    </row>
    <row r="16" spans="1:14" ht="57" thickBot="1" x14ac:dyDescent="0.3">
      <c r="A16" s="32">
        <v>12</v>
      </c>
      <c r="B16" s="53" t="s">
        <v>49</v>
      </c>
      <c r="C16" s="117">
        <f>[1]STA_SP2_NO!$J$22</f>
        <v>0</v>
      </c>
      <c r="D16" s="68">
        <f>[2]STA_SP2_NO!$J$22</f>
        <v>0</v>
      </c>
      <c r="E16" s="117">
        <f>[3]STA_SP2_NO!$J$22</f>
        <v>0</v>
      </c>
      <c r="F16" s="118">
        <f>[4]STA_SP2_NO!$J$22</f>
        <v>0</v>
      </c>
      <c r="G16" s="385">
        <f>[5]STA_SP2_NO!$J$22</f>
        <v>0</v>
      </c>
      <c r="H16" s="126">
        <f>[6]STA_SP2_NO!$J$22</f>
        <v>0</v>
      </c>
      <c r="I16" s="143">
        <f>[7]STA_SP2_NO!$J$22</f>
        <v>0</v>
      </c>
      <c r="J16" s="126">
        <f>[8]STA_SP2_NO!$J$22</f>
        <v>0</v>
      </c>
      <c r="K16" s="143">
        <f>[9]STA_SP2_NO!$J$22</f>
        <v>0</v>
      </c>
      <c r="L16" s="379">
        <f>[10]STA_SP2_NO!$J$22</f>
        <v>0</v>
      </c>
      <c r="M16" s="395">
        <f>[11]STA_SP2_NO!$J$22</f>
        <v>0</v>
      </c>
      <c r="N16" s="397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117">
        <f>[1]STA_SP2_NO!$J$23</f>
        <v>0</v>
      </c>
      <c r="D17" s="68">
        <f>[2]STA_SP2_NO!$J$23</f>
        <v>0</v>
      </c>
      <c r="E17" s="117">
        <f>[3]STA_SP2_NO!$J$23</f>
        <v>0</v>
      </c>
      <c r="F17" s="118">
        <f>[4]STA_SP2_NO!$J$23</f>
        <v>0</v>
      </c>
      <c r="G17" s="385">
        <f>[5]STA_SP2_NO!$J$23</f>
        <v>0</v>
      </c>
      <c r="H17" s="126">
        <f>[6]STA_SP2_NO!$J$23</f>
        <v>0</v>
      </c>
      <c r="I17" s="143">
        <f>[7]STA_SP2_NO!$J$23</f>
        <v>0</v>
      </c>
      <c r="J17" s="126">
        <f>[8]STA_SP2_NO!$J$23</f>
        <v>0</v>
      </c>
      <c r="K17" s="143">
        <f>[9]STA_SP2_NO!$J$23</f>
        <v>0</v>
      </c>
      <c r="L17" s="379">
        <f>[10]STA_SP2_NO!$J$23</f>
        <v>0</v>
      </c>
      <c r="M17" s="395">
        <f>[11]STA_SP2_NO!$J$23</f>
        <v>0</v>
      </c>
      <c r="N17" s="397">
        <f t="shared" si="0"/>
        <v>0</v>
      </c>
    </row>
    <row r="18" spans="1:14" ht="15.75" thickBot="1" x14ac:dyDescent="0.3">
      <c r="A18" s="36"/>
      <c r="B18" s="37" t="s">
        <v>36</v>
      </c>
      <c r="C18" s="41">
        <f t="shared" ref="C18:F18" si="1">SUM(C5:C17)</f>
        <v>2285</v>
      </c>
      <c r="D18" s="42">
        <f t="shared" si="1"/>
        <v>1095</v>
      </c>
      <c r="E18" s="41">
        <f t="shared" si="1"/>
        <v>815</v>
      </c>
      <c r="F18" s="39">
        <f t="shared" si="1"/>
        <v>1242</v>
      </c>
      <c r="G18" s="40">
        <f t="shared" ref="G18:M18" si="2">SUM(G5:G17)</f>
        <v>1132</v>
      </c>
      <c r="H18" s="39">
        <f t="shared" si="2"/>
        <v>2097</v>
      </c>
      <c r="I18" s="40">
        <f t="shared" si="2"/>
        <v>3022</v>
      </c>
      <c r="J18" s="39">
        <f t="shared" si="2"/>
        <v>1400</v>
      </c>
      <c r="K18" s="40">
        <f t="shared" si="2"/>
        <v>934</v>
      </c>
      <c r="L18" s="380">
        <f t="shared" si="2"/>
        <v>1635</v>
      </c>
      <c r="M18" s="396">
        <f t="shared" si="2"/>
        <v>67</v>
      </c>
      <c r="N18" s="234">
        <f t="shared" si="0"/>
        <v>15724</v>
      </c>
    </row>
    <row r="19" spans="1:14" ht="15.75" thickBot="1" x14ac:dyDescent="0.3">
      <c r="A19" s="108"/>
      <c r="B19" s="109"/>
      <c r="C19" s="46"/>
      <c r="D19" s="40"/>
      <c r="E19" s="46"/>
      <c r="F19" s="40"/>
      <c r="G19" s="40"/>
      <c r="H19" s="46"/>
      <c r="I19" s="40"/>
      <c r="J19" s="46"/>
      <c r="K19" s="40"/>
      <c r="L19" s="46"/>
      <c r="M19" s="348"/>
      <c r="N19" s="46"/>
    </row>
    <row r="20" spans="1:14" ht="15.75" thickBot="1" x14ac:dyDescent="0.3">
      <c r="A20" s="535" t="s">
        <v>52</v>
      </c>
      <c r="B20" s="536"/>
      <c r="C20" s="55">
        <f>C18/N18</f>
        <v>0.14531925718646654</v>
      </c>
      <c r="D20" s="56">
        <f>D18/N18</f>
        <v>6.9638768761129483E-2</v>
      </c>
      <c r="E20" s="48">
        <f>E18/N18</f>
        <v>5.1831595013991351E-2</v>
      </c>
      <c r="F20" s="47">
        <f>F18/N18</f>
        <v>7.8987534978377003E-2</v>
      </c>
      <c r="G20" s="70">
        <f>G18/N18</f>
        <v>7.1991859577715589E-2</v>
      </c>
      <c r="H20" s="47">
        <f>H18/N18</f>
        <v>0.13336301195624523</v>
      </c>
      <c r="I20" s="70">
        <f>I18/N18</f>
        <v>0.192190282370898</v>
      </c>
      <c r="J20" s="47">
        <f>J18/N18</f>
        <v>8.9035868735690665E-2</v>
      </c>
      <c r="K20" s="70">
        <f>K18/N18</f>
        <v>5.9399643856525054E-2</v>
      </c>
      <c r="L20" s="389">
        <f>L18/N18</f>
        <v>0.10398117527346731</v>
      </c>
      <c r="M20" s="342">
        <f>M18/N18</f>
        <v>4.2610022894937673E-3</v>
      </c>
      <c r="N20" s="258">
        <f>SUM(C20:M20)</f>
        <v>1</v>
      </c>
    </row>
  </sheetData>
  <mergeCells count="16">
    <mergeCell ref="M3:M4"/>
    <mergeCell ref="N2:N4"/>
    <mergeCell ref="C3:C4"/>
    <mergeCell ref="D3:D4"/>
    <mergeCell ref="E3:E4"/>
    <mergeCell ref="F3:F4"/>
    <mergeCell ref="G3:G4"/>
    <mergeCell ref="L3:L4"/>
    <mergeCell ref="A20:B20"/>
    <mergeCell ref="C1:K1"/>
    <mergeCell ref="A2:A4"/>
    <mergeCell ref="B2:B4"/>
    <mergeCell ref="H3:H4"/>
    <mergeCell ref="I3:I4"/>
    <mergeCell ref="J3:J4"/>
    <mergeCell ref="K3:K4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activeCell="R16" sqref="R16"/>
    </sheetView>
  </sheetViews>
  <sheetFormatPr defaultRowHeight="15" x14ac:dyDescent="0.25"/>
  <cols>
    <col min="1" max="1" width="2.85546875" customWidth="1"/>
    <col min="2" max="2" width="26.5703125" customWidth="1"/>
    <col min="6" max="6" width="9.5703125" bestFit="1" customWidth="1"/>
    <col min="11" max="11" width="9.5703125" bestFit="1" customWidth="1"/>
    <col min="14" max="14" width="8.5703125" customWidth="1"/>
  </cols>
  <sheetData>
    <row r="1" spans="1:14" ht="32.25" customHeight="1" thickBot="1" x14ac:dyDescent="0.3">
      <c r="A1" s="120" t="s">
        <v>66</v>
      </c>
      <c r="B1" s="26"/>
      <c r="C1" s="457" t="s">
        <v>111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155" t="s">
        <v>35</v>
      </c>
    </row>
    <row r="2" spans="1:14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507" t="s">
        <v>3</v>
      </c>
    </row>
    <row r="3" spans="1:14" ht="24" customHeight="1" x14ac:dyDescent="0.25">
      <c r="A3" s="499"/>
      <c r="B3" s="501"/>
      <c r="C3" s="543" t="s">
        <v>68</v>
      </c>
      <c r="D3" s="544" t="s">
        <v>4</v>
      </c>
      <c r="E3" s="521" t="s">
        <v>5</v>
      </c>
      <c r="F3" s="462" t="s">
        <v>6</v>
      </c>
      <c r="G3" s="503" t="s">
        <v>8</v>
      </c>
      <c r="H3" s="462" t="s">
        <v>93</v>
      </c>
      <c r="I3" s="503" t="s">
        <v>96</v>
      </c>
      <c r="J3" s="522" t="s">
        <v>37</v>
      </c>
      <c r="K3" s="503" t="s">
        <v>92</v>
      </c>
      <c r="L3" s="462" t="s">
        <v>10</v>
      </c>
      <c r="M3" s="530" t="s">
        <v>95</v>
      </c>
      <c r="N3" s="508"/>
    </row>
    <row r="4" spans="1:14" ht="15.75" thickBot="1" x14ac:dyDescent="0.3">
      <c r="A4" s="500"/>
      <c r="B4" s="502"/>
      <c r="C4" s="511"/>
      <c r="D4" s="513"/>
      <c r="E4" s="500"/>
      <c r="F4" s="500"/>
      <c r="G4" s="504"/>
      <c r="H4" s="463"/>
      <c r="I4" s="504"/>
      <c r="J4" s="524"/>
      <c r="K4" s="504"/>
      <c r="L4" s="463"/>
      <c r="M4" s="532"/>
      <c r="N4" s="509"/>
    </row>
    <row r="5" spans="1:14" ht="15.75" thickBot="1" x14ac:dyDescent="0.3">
      <c r="A5" s="30">
        <v>1</v>
      </c>
      <c r="B5" s="31" t="s">
        <v>38</v>
      </c>
      <c r="C5" s="117">
        <f>[1]STA_SP2_NO!$K$11</f>
        <v>131211.32</v>
      </c>
      <c r="D5" s="68">
        <f>[2]STA_SP2_NO!$K$11</f>
        <v>62888.65</v>
      </c>
      <c r="E5" s="117">
        <f>[3]STA_SP2_NO!$K$11</f>
        <v>44509</v>
      </c>
      <c r="F5" s="388">
        <f>[4]STA_SP2_NO!$K$11</f>
        <v>69995.710000000006</v>
      </c>
      <c r="G5" s="385">
        <f>[5]STA_SP2_NO!$K$11</f>
        <v>71910</v>
      </c>
      <c r="H5" s="126">
        <f>[6]STA_SP2_NO!$K$11</f>
        <v>102527.29</v>
      </c>
      <c r="I5" s="143">
        <f>[7]STA_SP2_NO!$K$11</f>
        <v>162119</v>
      </c>
      <c r="J5" s="126">
        <f>[8]STA_SP2_NO!$K$11</f>
        <v>69405</v>
      </c>
      <c r="K5" s="143">
        <f>[9]STA_SP2_NO!$K$11</f>
        <v>68041.179999999993</v>
      </c>
      <c r="L5" s="379">
        <f>[10]STA_SP2_NO!$K$11</f>
        <v>95393</v>
      </c>
      <c r="M5" s="386">
        <f>[11]STA_SP2_NO!$K$11</f>
        <v>4766.99</v>
      </c>
      <c r="N5" s="249">
        <f t="shared" ref="N5:N17" si="0">SUM(C5:M5)</f>
        <v>882767.1399999999</v>
      </c>
    </row>
    <row r="6" spans="1:14" ht="15.75" thickBot="1" x14ac:dyDescent="0.3">
      <c r="A6" s="32">
        <v>2</v>
      </c>
      <c r="B6" s="33" t="s">
        <v>39</v>
      </c>
      <c r="C6" s="117">
        <f>[1]STA_SP2_NO!$K$12</f>
        <v>19797.78</v>
      </c>
      <c r="D6" s="68">
        <f>[2]STA_SP2_NO!$K$12</f>
        <v>7419.45</v>
      </c>
      <c r="E6" s="117">
        <f>[3]STA_SP2_NO!$K$12</f>
        <v>5016</v>
      </c>
      <c r="F6" s="388">
        <f>[4]STA_SP2_NO!$K$12</f>
        <v>21212.080000000002</v>
      </c>
      <c r="G6" s="385">
        <f>[5]STA_SP2_NO!$K$12</f>
        <v>7915</v>
      </c>
      <c r="H6" s="126">
        <f>[6]STA_SP2_NO!$K$12</f>
        <v>7020.55</v>
      </c>
      <c r="I6" s="143">
        <f>[7]STA_SP2_NO!$K$12</f>
        <v>21556</v>
      </c>
      <c r="J6" s="126">
        <f>[8]STA_SP2_NO!$K$12</f>
        <v>10024</v>
      </c>
      <c r="K6" s="143">
        <f>[9]STA_SP2_NO!$K$12</f>
        <v>7780.57</v>
      </c>
      <c r="L6" s="379">
        <f>[10]STA_SP2_NO!$K$12</f>
        <v>9527</v>
      </c>
      <c r="M6" s="386">
        <f>[11]STA_SP2_NO!$K$12</f>
        <v>285.91000000000003</v>
      </c>
      <c r="N6" s="249">
        <f t="shared" si="0"/>
        <v>117554.34</v>
      </c>
    </row>
    <row r="7" spans="1:14" ht="15.75" thickBot="1" x14ac:dyDescent="0.3">
      <c r="A7" s="32">
        <v>3</v>
      </c>
      <c r="B7" s="33" t="s">
        <v>40</v>
      </c>
      <c r="C7" s="117">
        <f>[1]STA_SP2_NO!$K$13</f>
        <v>6595.88</v>
      </c>
      <c r="D7" s="68">
        <f>[2]STA_SP2_NO!$K$13</f>
        <v>223.51</v>
      </c>
      <c r="E7" s="117">
        <f>[3]STA_SP2_NO!$K$13</f>
        <v>430</v>
      </c>
      <c r="F7" s="388">
        <f>[4]STA_SP2_NO!$K$13</f>
        <v>618.75</v>
      </c>
      <c r="G7" s="385">
        <f>[5]STA_SP2_NO!$K$13</f>
        <v>89</v>
      </c>
      <c r="H7" s="126">
        <f>[6]STA_SP2_NO!$K$13</f>
        <v>252.61</v>
      </c>
      <c r="I7" s="143">
        <f>[7]STA_SP2_NO!$K$13</f>
        <v>2994</v>
      </c>
      <c r="J7" s="126">
        <f>[8]STA_SP2_NO!$K$13</f>
        <v>949</v>
      </c>
      <c r="K7" s="143">
        <f>[9]STA_SP2_NO!$K$13</f>
        <v>381.13</v>
      </c>
      <c r="L7" s="379">
        <f>[10]STA_SP2_NO!$K$13</f>
        <v>695</v>
      </c>
      <c r="M7" s="386">
        <f>[11]STA_SP2_NO!$K$13</f>
        <v>0</v>
      </c>
      <c r="N7" s="249">
        <f t="shared" si="0"/>
        <v>13228.88</v>
      </c>
    </row>
    <row r="8" spans="1:14" ht="15.75" thickBot="1" x14ac:dyDescent="0.3">
      <c r="A8" s="32">
        <v>4</v>
      </c>
      <c r="B8" s="33" t="s">
        <v>41</v>
      </c>
      <c r="C8" s="117">
        <f>[1]STA_SP2_NO!$K$14</f>
        <v>637.94000000000005</v>
      </c>
      <c r="D8" s="68">
        <f>[2]STA_SP2_NO!$K$14</f>
        <v>210.26</v>
      </c>
      <c r="E8" s="117">
        <f>[3]STA_SP2_NO!$K$14</f>
        <v>148</v>
      </c>
      <c r="F8" s="388">
        <f>[4]STA_SP2_NO!$K$14</f>
        <v>775.51</v>
      </c>
      <c r="G8" s="385">
        <f>[5]STA_SP2_NO!$K$14</f>
        <v>36</v>
      </c>
      <c r="H8" s="126">
        <f>[6]STA_SP2_NO!$K$14</f>
        <v>438.83</v>
      </c>
      <c r="I8" s="143">
        <f>[7]STA_SP2_NO!$K$14</f>
        <v>615</v>
      </c>
      <c r="J8" s="126">
        <f>[8]STA_SP2_NO!$K$14</f>
        <v>268</v>
      </c>
      <c r="K8" s="143">
        <f>[9]STA_SP2_NO!$K$14</f>
        <v>9.16</v>
      </c>
      <c r="L8" s="379">
        <f>[10]STA_SP2_NO!$K$14</f>
        <v>150</v>
      </c>
      <c r="M8" s="386">
        <f>[11]STA_SP2_NO!$K$14</f>
        <v>0</v>
      </c>
      <c r="N8" s="249">
        <f t="shared" si="0"/>
        <v>3288.7</v>
      </c>
    </row>
    <row r="9" spans="1:14" ht="15.75" thickBot="1" x14ac:dyDescent="0.3">
      <c r="A9" s="32">
        <v>5</v>
      </c>
      <c r="B9" s="33" t="s">
        <v>42</v>
      </c>
      <c r="C9" s="117">
        <f>[1]STA_SP2_NO!$K$15</f>
        <v>541.55999999999995</v>
      </c>
      <c r="D9" s="68">
        <f>[2]STA_SP2_NO!$K$15</f>
        <v>108.03</v>
      </c>
      <c r="E9" s="117">
        <f>[3]STA_SP2_NO!$K$15</f>
        <v>19</v>
      </c>
      <c r="F9" s="388">
        <f>[4]STA_SP2_NO!$K$15</f>
        <v>22.6</v>
      </c>
      <c r="G9" s="385">
        <f>[5]STA_SP2_NO!$K$15</f>
        <v>328</v>
      </c>
      <c r="H9" s="126">
        <f>[6]STA_SP2_NO!$K$15</f>
        <v>1169.3399999999999</v>
      </c>
      <c r="I9" s="143">
        <f>[7]STA_SP2_NO!$K$15</f>
        <v>741</v>
      </c>
      <c r="J9" s="126">
        <f>[8]STA_SP2_NO!$K$15</f>
        <v>693</v>
      </c>
      <c r="K9" s="143">
        <f>[9]STA_SP2_NO!$K$15</f>
        <v>0</v>
      </c>
      <c r="L9" s="379">
        <f>[10]STA_SP2_NO!$K$15</f>
        <v>47</v>
      </c>
      <c r="M9" s="386">
        <f>[11]STA_SP2_NO!$K$15</f>
        <v>0</v>
      </c>
      <c r="N9" s="249">
        <f t="shared" si="0"/>
        <v>3669.5299999999997</v>
      </c>
    </row>
    <row r="10" spans="1:14" ht="15.75" thickBot="1" x14ac:dyDescent="0.3">
      <c r="A10" s="32">
        <v>6</v>
      </c>
      <c r="B10" s="33" t="s">
        <v>43</v>
      </c>
      <c r="C10" s="117">
        <f>[1]STA_SP2_NO!$K$16</f>
        <v>4670.95</v>
      </c>
      <c r="D10" s="68">
        <f>[2]STA_SP2_NO!$K$16</f>
        <v>1035.49</v>
      </c>
      <c r="E10" s="117">
        <f>[3]STA_SP2_NO!$K$16</f>
        <v>286</v>
      </c>
      <c r="F10" s="388">
        <f>[4]STA_SP2_NO!$K$16</f>
        <v>2590.94</v>
      </c>
      <c r="G10" s="385">
        <f>[5]STA_SP2_NO!$K$16</f>
        <v>163</v>
      </c>
      <c r="H10" s="126">
        <f>[6]STA_SP2_NO!$K$16</f>
        <v>1881.79</v>
      </c>
      <c r="I10" s="143">
        <f>[7]STA_SP2_NO!$K$16</f>
        <v>2005</v>
      </c>
      <c r="J10" s="126">
        <f>[8]STA_SP2_NO!$K$16</f>
        <v>1013</v>
      </c>
      <c r="K10" s="143">
        <f>[9]STA_SP2_NO!$K$16</f>
        <v>1037.8900000000001</v>
      </c>
      <c r="L10" s="379">
        <f>[10]STA_SP2_NO!$K$16</f>
        <v>1876</v>
      </c>
      <c r="M10" s="386">
        <f>[11]STA_SP2_NO!$K$16</f>
        <v>0</v>
      </c>
      <c r="N10" s="249">
        <f t="shared" si="0"/>
        <v>16560.059999999998</v>
      </c>
    </row>
    <row r="11" spans="1:14" ht="15.75" thickBot="1" x14ac:dyDescent="0.3">
      <c r="A11" s="32">
        <v>7</v>
      </c>
      <c r="B11" s="33" t="s">
        <v>44</v>
      </c>
      <c r="C11" s="117">
        <f>[1]STA_SP2_NO!$K$17</f>
        <v>197.53</v>
      </c>
      <c r="D11" s="68">
        <f>[2]STA_SP2_NO!$K$17</f>
        <v>23.71</v>
      </c>
      <c r="E11" s="117">
        <f>[3]STA_SP2_NO!$K$17</f>
        <v>0</v>
      </c>
      <c r="F11" s="388">
        <f>[4]STA_SP2_NO!$K$17</f>
        <v>0.48</v>
      </c>
      <c r="G11" s="385">
        <f>[5]STA_SP2_NO!$K$17</f>
        <v>0</v>
      </c>
      <c r="H11" s="126">
        <f>[6]STA_SP2_NO!$K$17</f>
        <v>174.97</v>
      </c>
      <c r="I11" s="143">
        <f>[7]STA_SP2_NO!$K$17</f>
        <v>62</v>
      </c>
      <c r="J11" s="126">
        <f>[8]STA_SP2_NO!$K$17</f>
        <v>33</v>
      </c>
      <c r="K11" s="143">
        <f>[9]STA_SP2_NO!$K$17</f>
        <v>268.07</v>
      </c>
      <c r="L11" s="379">
        <f>[10]STA_SP2_NO!$K$17</f>
        <v>26</v>
      </c>
      <c r="M11" s="386">
        <f>[11]STA_SP2_NO!$K$17</f>
        <v>0</v>
      </c>
      <c r="N11" s="249">
        <f t="shared" si="0"/>
        <v>785.76</v>
      </c>
    </row>
    <row r="12" spans="1:14" ht="15.75" thickBot="1" x14ac:dyDescent="0.3">
      <c r="A12" s="32">
        <v>8</v>
      </c>
      <c r="B12" s="33" t="s">
        <v>45</v>
      </c>
      <c r="C12" s="117">
        <f>[1]STA_SP2_NO!$K$18</f>
        <v>622.34</v>
      </c>
      <c r="D12" s="68">
        <f>[2]STA_SP2_NO!$K$18</f>
        <v>77.45</v>
      </c>
      <c r="E12" s="117">
        <f>[3]STA_SP2_NO!$K$18</f>
        <v>305</v>
      </c>
      <c r="F12" s="388">
        <f>[4]STA_SP2_NO!$K$18</f>
        <v>74.55</v>
      </c>
      <c r="G12" s="385">
        <f>[5]STA_SP2_NO!$K$18</f>
        <v>81</v>
      </c>
      <c r="H12" s="126">
        <f>[6]STA_SP2_NO!$K$18</f>
        <v>0</v>
      </c>
      <c r="I12" s="143">
        <f>[7]STA_SP2_NO!$K$18</f>
        <v>42</v>
      </c>
      <c r="J12" s="126">
        <f>[8]STA_SP2_NO!$K$18</f>
        <v>1338</v>
      </c>
      <c r="K12" s="143">
        <f>[9]STA_SP2_NO!$K$18</f>
        <v>12.16</v>
      </c>
      <c r="L12" s="379">
        <f>[10]STA_SP2_NO!$K$18</f>
        <v>320</v>
      </c>
      <c r="M12" s="386">
        <f>[11]STA_SP2_NO!$K$18</f>
        <v>0</v>
      </c>
      <c r="N12" s="249">
        <f t="shared" si="0"/>
        <v>2872.5</v>
      </c>
    </row>
    <row r="13" spans="1:14" ht="23.25" thickBot="1" x14ac:dyDescent="0.3">
      <c r="A13" s="32">
        <v>9</v>
      </c>
      <c r="B13" s="53" t="s">
        <v>46</v>
      </c>
      <c r="C13" s="117">
        <f>[1]STA_SP2_NO!$K$19</f>
        <v>0</v>
      </c>
      <c r="D13" s="68">
        <f>[2]STA_SP2_NO!$K$19</f>
        <v>0</v>
      </c>
      <c r="E13" s="117">
        <f>[3]STA_SP2_NO!$K$19</f>
        <v>0</v>
      </c>
      <c r="F13" s="388">
        <f>[4]STA_SP2_NO!$K$19</f>
        <v>0</v>
      </c>
      <c r="G13" s="385">
        <f>[5]STA_SP2_NO!$K$19</f>
        <v>0</v>
      </c>
      <c r="H13" s="126">
        <f>[6]STA_SP2_NO!$K$19</f>
        <v>0</v>
      </c>
      <c r="I13" s="143">
        <f>[7]STA_SP2_NO!$K$19</f>
        <v>0</v>
      </c>
      <c r="J13" s="126">
        <f>[8]STA_SP2_NO!$K$19</f>
        <v>0</v>
      </c>
      <c r="K13" s="143">
        <f>[9]STA_SP2_NO!$K$19</f>
        <v>0</v>
      </c>
      <c r="L13" s="379">
        <f>[10]STA_SP2_NO!$K$19</f>
        <v>0</v>
      </c>
      <c r="M13" s="386">
        <f>[11]STA_SP2_NO!$K$19</f>
        <v>0</v>
      </c>
      <c r="N13" s="249">
        <f t="shared" si="0"/>
        <v>0</v>
      </c>
    </row>
    <row r="14" spans="1:14" ht="34.5" thickBot="1" x14ac:dyDescent="0.3">
      <c r="A14" s="32">
        <v>10</v>
      </c>
      <c r="B14" s="156" t="s">
        <v>47</v>
      </c>
      <c r="C14" s="117">
        <f>[1]STA_SP2_NO!$K$20</f>
        <v>0</v>
      </c>
      <c r="D14" s="68">
        <f>[2]STA_SP2_NO!$K$20</f>
        <v>0</v>
      </c>
      <c r="E14" s="117">
        <f>[3]STA_SP2_NO!$K$20</f>
        <v>0</v>
      </c>
      <c r="F14" s="388">
        <f>[4]STA_SP2_NO!$K$20</f>
        <v>0</v>
      </c>
      <c r="G14" s="385">
        <f>[5]STA_SP2_NO!$K$20</f>
        <v>0</v>
      </c>
      <c r="H14" s="126">
        <f>[6]STA_SP2_NO!$K$20</f>
        <v>0</v>
      </c>
      <c r="I14" s="143">
        <f>[7]STA_SP2_NO!$K$20</f>
        <v>0</v>
      </c>
      <c r="J14" s="126">
        <f>[8]STA_SP2_NO!$K$20</f>
        <v>0</v>
      </c>
      <c r="K14" s="143">
        <f>[9]STA_SP2_NO!$K$20</f>
        <v>0</v>
      </c>
      <c r="L14" s="379">
        <f>[10]STA_SP2_NO!$K$20</f>
        <v>0</v>
      </c>
      <c r="M14" s="386">
        <f>[11]STA_SP2_NO!$K$20</f>
        <v>0</v>
      </c>
      <c r="N14" s="249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117">
        <f>[1]STA_SP2_NO!$K$21</f>
        <v>0</v>
      </c>
      <c r="D15" s="68">
        <f>[2]STA_SP2_NO!$K$21</f>
        <v>0</v>
      </c>
      <c r="E15" s="117">
        <f>[3]STA_SP2_NO!$K$21</f>
        <v>0</v>
      </c>
      <c r="F15" s="388">
        <f>[4]STA_SP2_NO!$K$21</f>
        <v>0</v>
      </c>
      <c r="G15" s="385">
        <f>[5]STA_SP2_NO!$K$21</f>
        <v>0</v>
      </c>
      <c r="H15" s="126">
        <f>[6]STA_SP2_NO!$K$21</f>
        <v>0</v>
      </c>
      <c r="I15" s="143">
        <f>[7]STA_SP2_NO!$K$21</f>
        <v>0</v>
      </c>
      <c r="J15" s="126">
        <f>[8]STA_SP2_NO!$K$21</f>
        <v>0</v>
      </c>
      <c r="K15" s="143">
        <f>[9]STA_SP2_NO!$K$21</f>
        <v>0</v>
      </c>
      <c r="L15" s="379">
        <f>[10]STA_SP2_NO!$K$21</f>
        <v>0</v>
      </c>
      <c r="M15" s="386">
        <f>[11]STA_SP2_NO!$K$21</f>
        <v>0</v>
      </c>
      <c r="N15" s="249">
        <f t="shared" si="0"/>
        <v>0</v>
      </c>
    </row>
    <row r="16" spans="1:14" ht="57" thickBot="1" x14ac:dyDescent="0.3">
      <c r="A16" s="32">
        <v>12</v>
      </c>
      <c r="B16" s="53" t="s">
        <v>49</v>
      </c>
      <c r="C16" s="117">
        <f>[1]STA_SP2_NO!$K$22</f>
        <v>0</v>
      </c>
      <c r="D16" s="68">
        <f>[2]STA_SP2_NO!$K$22</f>
        <v>0</v>
      </c>
      <c r="E16" s="117">
        <f>[3]STA_SP2_NO!$K$22</f>
        <v>0</v>
      </c>
      <c r="F16" s="388">
        <f>[4]STA_SP2_NO!$K$22</f>
        <v>0</v>
      </c>
      <c r="G16" s="385">
        <f>[5]STA_SP2_NO!$K$22</f>
        <v>0</v>
      </c>
      <c r="H16" s="126">
        <f>[6]STA_SP2_NO!$K$22</f>
        <v>0</v>
      </c>
      <c r="I16" s="143">
        <f>[7]STA_SP2_NO!$K$22</f>
        <v>0</v>
      </c>
      <c r="J16" s="126">
        <f>[8]STA_SP2_NO!$K$22</f>
        <v>0</v>
      </c>
      <c r="K16" s="143">
        <f>[9]STA_SP2_NO!$K$22</f>
        <v>0</v>
      </c>
      <c r="L16" s="379">
        <f>[10]STA_SP2_NO!$K$22</f>
        <v>0</v>
      </c>
      <c r="M16" s="386">
        <f>[11]STA_SP2_NO!$K$22</f>
        <v>0</v>
      </c>
      <c r="N16" s="249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117">
        <f>[1]STA_SP2_NO!$K$23</f>
        <v>0</v>
      </c>
      <c r="D17" s="68">
        <f>[2]STA_SP2_NO!$K$23</f>
        <v>0</v>
      </c>
      <c r="E17" s="117">
        <f>[3]STA_SP2_NO!$K$23</f>
        <v>0</v>
      </c>
      <c r="F17" s="388">
        <f>[4]STA_SP2_NO!$K$23</f>
        <v>0</v>
      </c>
      <c r="G17" s="385">
        <f>[5]STA_SP2_NO!$K$23</f>
        <v>0</v>
      </c>
      <c r="H17" s="126">
        <f>[6]STA_SP2_NO!$K$23</f>
        <v>0</v>
      </c>
      <c r="I17" s="143">
        <f>[7]STA_SP2_NO!$K$23</f>
        <v>0</v>
      </c>
      <c r="J17" s="126">
        <f>[8]STA_SP2_NO!$K$23</f>
        <v>0</v>
      </c>
      <c r="K17" s="143">
        <f>[9]STA_SP2_NO!$K$23</f>
        <v>0</v>
      </c>
      <c r="L17" s="379">
        <f>[10]STA_SP2_NO!$K$23</f>
        <v>0</v>
      </c>
      <c r="M17" s="386">
        <f>[11]STA_SP2_NO!$K$23</f>
        <v>0</v>
      </c>
      <c r="N17" s="249">
        <f t="shared" si="0"/>
        <v>0</v>
      </c>
    </row>
    <row r="18" spans="1:14" ht="15.75" thickBot="1" x14ac:dyDescent="0.3">
      <c r="A18" s="36"/>
      <c r="B18" s="37" t="s">
        <v>36</v>
      </c>
      <c r="C18" s="41">
        <f t="shared" ref="C18:E18" si="1">SUM(C5:C17)</f>
        <v>164275.30000000002</v>
      </c>
      <c r="D18" s="42">
        <f>SUM(D5:D17)</f>
        <v>71986.55</v>
      </c>
      <c r="E18" s="41">
        <f t="shared" si="1"/>
        <v>50713</v>
      </c>
      <c r="F18" s="39">
        <f t="shared" ref="F18:N18" si="2">SUM(F5:F17)</f>
        <v>95290.62000000001</v>
      </c>
      <c r="G18" s="40">
        <f t="shared" si="2"/>
        <v>80522</v>
      </c>
      <c r="H18" s="39">
        <f t="shared" si="2"/>
        <v>113465.37999999999</v>
      </c>
      <c r="I18" s="40">
        <f t="shared" si="2"/>
        <v>190134</v>
      </c>
      <c r="J18" s="51">
        <f t="shared" si="2"/>
        <v>83723</v>
      </c>
      <c r="K18" s="40">
        <f t="shared" si="2"/>
        <v>77530.160000000018</v>
      </c>
      <c r="L18" s="380">
        <f t="shared" si="2"/>
        <v>108034</v>
      </c>
      <c r="M18" s="333">
        <f t="shared" si="2"/>
        <v>5052.8999999999996</v>
      </c>
      <c r="N18" s="250">
        <f t="shared" si="2"/>
        <v>1040726.9099999999</v>
      </c>
    </row>
    <row r="19" spans="1:14" ht="15.75" thickBot="1" x14ac:dyDescent="0.3">
      <c r="G19" s="341"/>
      <c r="H19" s="1"/>
      <c r="I19" s="341"/>
      <c r="J19" s="1"/>
      <c r="K19" s="341"/>
      <c r="L19" s="1"/>
      <c r="M19" s="341"/>
    </row>
    <row r="20" spans="1:14" ht="15.75" thickBot="1" x14ac:dyDescent="0.3">
      <c r="A20" s="535" t="s">
        <v>52</v>
      </c>
      <c r="B20" s="536"/>
      <c r="C20" s="55">
        <f>C18/N18</f>
        <v>0.15784669198185722</v>
      </c>
      <c r="D20" s="56">
        <f>D18/N18</f>
        <v>6.9169490390135105E-2</v>
      </c>
      <c r="E20" s="48">
        <f>E18/N18</f>
        <v>4.8728441162341048E-2</v>
      </c>
      <c r="F20" s="47">
        <f>F18/N18</f>
        <v>9.1561598998146421E-2</v>
      </c>
      <c r="G20" s="70">
        <f>G18/N18</f>
        <v>7.7370921445665319E-2</v>
      </c>
      <c r="H20" s="47">
        <f>H18/N18</f>
        <v>0.10902512360327071</v>
      </c>
      <c r="I20" s="70">
        <f>I18/N18</f>
        <v>0.18269345990102245</v>
      </c>
      <c r="J20" s="47">
        <f>J18/N18</f>
        <v>8.0446656270279401E-2</v>
      </c>
      <c r="K20" s="70">
        <f>K18/N18</f>
        <v>7.4496161533864846E-2</v>
      </c>
      <c r="L20" s="389">
        <f>L18/N18</f>
        <v>0.10380629054744055</v>
      </c>
      <c r="M20" s="342">
        <f>M18/N18</f>
        <v>4.8551641659770285E-3</v>
      </c>
      <c r="N20" s="258">
        <f>SUM(C20:M20)</f>
        <v>1</v>
      </c>
    </row>
    <row r="21" spans="1:14" x14ac:dyDescent="0.25">
      <c r="K21" s="341"/>
    </row>
  </sheetData>
  <mergeCells count="17">
    <mergeCell ref="N2:N4"/>
    <mergeCell ref="C3:C4"/>
    <mergeCell ref="D3:D4"/>
    <mergeCell ref="E3:E4"/>
    <mergeCell ref="F3:F4"/>
    <mergeCell ref="G3:G4"/>
    <mergeCell ref="L3:L4"/>
    <mergeCell ref="C2:M2"/>
    <mergeCell ref="M3:M4"/>
    <mergeCell ref="A20:B20"/>
    <mergeCell ref="C1:K1"/>
    <mergeCell ref="A2:A4"/>
    <mergeCell ref="B2:B4"/>
    <mergeCell ref="H3:H4"/>
    <mergeCell ref="I3:I4"/>
    <mergeCell ref="J3:J4"/>
    <mergeCell ref="K3:K4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workbookViewId="0">
      <selection activeCell="R18" sqref="R18"/>
    </sheetView>
  </sheetViews>
  <sheetFormatPr defaultRowHeight="15" x14ac:dyDescent="0.25"/>
  <cols>
    <col min="1" max="1" width="4" customWidth="1"/>
    <col min="2" max="2" width="21.5703125" customWidth="1"/>
  </cols>
  <sheetData>
    <row r="1" spans="1:15" ht="27.75" customHeight="1" thickBot="1" x14ac:dyDescent="0.3">
      <c r="A1" s="120"/>
      <c r="B1" s="26"/>
      <c r="C1" s="457" t="s">
        <v>112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52"/>
    </row>
    <row r="2" spans="1:15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507" t="s">
        <v>3</v>
      </c>
    </row>
    <row r="3" spans="1:15" x14ac:dyDescent="0.25">
      <c r="A3" s="499"/>
      <c r="B3" s="501"/>
      <c r="C3" s="526" t="s">
        <v>68</v>
      </c>
      <c r="D3" s="501" t="s">
        <v>4</v>
      </c>
      <c r="E3" s="521" t="s">
        <v>5</v>
      </c>
      <c r="F3" s="462" t="s">
        <v>6</v>
      </c>
      <c r="G3" s="503" t="s">
        <v>8</v>
      </c>
      <c r="H3" s="462" t="s">
        <v>93</v>
      </c>
      <c r="I3" s="503" t="s">
        <v>96</v>
      </c>
      <c r="J3" s="505" t="s">
        <v>9</v>
      </c>
      <c r="K3" s="503" t="s">
        <v>92</v>
      </c>
      <c r="L3" s="462" t="s">
        <v>10</v>
      </c>
      <c r="M3" s="538" t="s">
        <v>95</v>
      </c>
      <c r="N3" s="549"/>
    </row>
    <row r="4" spans="1:15" ht="15.75" thickBot="1" x14ac:dyDescent="0.3">
      <c r="A4" s="500"/>
      <c r="B4" s="502"/>
      <c r="C4" s="528"/>
      <c r="D4" s="500"/>
      <c r="E4" s="500"/>
      <c r="F4" s="500"/>
      <c r="G4" s="504"/>
      <c r="H4" s="463"/>
      <c r="I4" s="504"/>
      <c r="J4" s="506"/>
      <c r="K4" s="504"/>
      <c r="L4" s="463"/>
      <c r="M4" s="539"/>
      <c r="N4" s="550"/>
    </row>
    <row r="5" spans="1:15" x14ac:dyDescent="0.25">
      <c r="A5" s="30">
        <v>1</v>
      </c>
      <c r="B5" s="31" t="s">
        <v>38</v>
      </c>
      <c r="C5" s="62">
        <f>[1]STA_SP2_NO!$J$25</f>
        <v>55</v>
      </c>
      <c r="D5" s="118">
        <f>[2]STA_SP2_NO!$J$25</f>
        <v>18</v>
      </c>
      <c r="E5" s="61">
        <f>[3]STA_SP2_NO!$J$25</f>
        <v>21</v>
      </c>
      <c r="F5" s="118">
        <f>[4]STA_SP2_NO!$J$25</f>
        <v>32</v>
      </c>
      <c r="G5" s="143">
        <f>[5]STA_SP2_NO!$J$25</f>
        <v>14</v>
      </c>
      <c r="H5" s="118">
        <f>[6]STA_SP2_NO!$J$25</f>
        <v>58</v>
      </c>
      <c r="I5" s="143">
        <f>[7]STA_SP2_NO!$J$25</f>
        <v>45</v>
      </c>
      <c r="J5" s="118">
        <f>[8]STA_SP2_NO!$J$25</f>
        <v>20</v>
      </c>
      <c r="K5" s="143">
        <f>[9]STA_SP2_NO!$J$25</f>
        <v>30</v>
      </c>
      <c r="L5" s="387">
        <f>[10]STA_SP2_NO!$J$25</f>
        <v>35</v>
      </c>
      <c r="M5" s="394">
        <f>[11]STA_SP2_NO!$J$25</f>
        <v>2</v>
      </c>
      <c r="N5" s="401">
        <f t="shared" ref="N5:N12" si="0">SUM(C5:M5)</f>
        <v>330</v>
      </c>
    </row>
    <row r="6" spans="1:15" x14ac:dyDescent="0.25">
      <c r="A6" s="32">
        <v>2</v>
      </c>
      <c r="B6" s="33" t="s">
        <v>39</v>
      </c>
      <c r="C6" s="62">
        <f>[1]STA_SP2_NO!$J$26</f>
        <v>51</v>
      </c>
      <c r="D6" s="118">
        <f>[2]STA_SP2_NO!$J$26</f>
        <v>59</v>
      </c>
      <c r="E6" s="61">
        <f>[3]STA_SP2_NO!$J$26</f>
        <v>22</v>
      </c>
      <c r="F6" s="118">
        <f>[4]STA_SP2_NO!$J$26</f>
        <v>42</v>
      </c>
      <c r="G6" s="143">
        <f>[5]STA_SP2_NO!$J$26</f>
        <v>10</v>
      </c>
      <c r="H6" s="118">
        <f>[6]STA_SP2_NO!$J$26</f>
        <v>39</v>
      </c>
      <c r="I6" s="143">
        <f>[7]STA_SP2_NO!$J$26</f>
        <v>48</v>
      </c>
      <c r="J6" s="118">
        <f>[8]STA_SP2_NO!$J$26</f>
        <v>20</v>
      </c>
      <c r="K6" s="143">
        <f>[9]STA_SP2_NO!$J$26</f>
        <v>26</v>
      </c>
      <c r="L6" s="387">
        <f>[10]STA_SP2_NO!$J$26</f>
        <v>39</v>
      </c>
      <c r="M6" s="394">
        <f>[11]STA_SP2_NO!$J$26</f>
        <v>3</v>
      </c>
      <c r="N6" s="401">
        <f t="shared" si="0"/>
        <v>359</v>
      </c>
    </row>
    <row r="7" spans="1:15" x14ac:dyDescent="0.25">
      <c r="A7" s="32">
        <v>3</v>
      </c>
      <c r="B7" s="33" t="s">
        <v>40</v>
      </c>
      <c r="C7" s="62">
        <f>[1]STA_SP2_NO!$J$27</f>
        <v>3</v>
      </c>
      <c r="D7" s="118">
        <f>[2]STA_SP2_NO!$J$27</f>
        <v>1</v>
      </c>
      <c r="E7" s="61">
        <f>[3]STA_SP2_NO!$J$27</f>
        <v>2</v>
      </c>
      <c r="F7" s="118">
        <f>[4]STA_SP2_NO!$J$27</f>
        <v>6</v>
      </c>
      <c r="G7" s="143">
        <f>[5]STA_SP2_NO!$J$27</f>
        <v>1</v>
      </c>
      <c r="H7" s="118">
        <f>[6]STA_SP2_NO!$J$27</f>
        <v>2</v>
      </c>
      <c r="I7" s="143">
        <f>[7]STA_SP2_NO!$J$27</f>
        <v>4</v>
      </c>
      <c r="J7" s="118">
        <f>[8]STA_SP2_NO!$J$27</f>
        <v>1</v>
      </c>
      <c r="K7" s="143">
        <f>[9]STA_SP2_NO!$J$27</f>
        <v>3</v>
      </c>
      <c r="L7" s="387">
        <f>[10]STA_SP2_NO!$J$27</f>
        <v>3</v>
      </c>
      <c r="M7" s="394">
        <f>[11]STA_SP2_NO!$J$27</f>
        <v>0</v>
      </c>
      <c r="N7" s="401">
        <f t="shared" si="0"/>
        <v>26</v>
      </c>
    </row>
    <row r="8" spans="1:15" x14ac:dyDescent="0.25">
      <c r="A8" s="32">
        <v>4</v>
      </c>
      <c r="B8" s="33" t="s">
        <v>41</v>
      </c>
      <c r="C8" s="62">
        <f>[1]STA_SP2_NO!$J$28</f>
        <v>0</v>
      </c>
      <c r="D8" s="118">
        <f>[2]STA_SP2_NO!$J$28</f>
        <v>0</v>
      </c>
      <c r="E8" s="61">
        <f>[3]STA_SP2_NO!$J$28</f>
        <v>0</v>
      </c>
      <c r="F8" s="118">
        <f>[4]STA_SP2_NO!$J$28</f>
        <v>0</v>
      </c>
      <c r="G8" s="143">
        <f>[5]STA_SP2_NO!$J$28</f>
        <v>0</v>
      </c>
      <c r="H8" s="118">
        <f>[6]STA_SP2_NO!$J$28</f>
        <v>0</v>
      </c>
      <c r="I8" s="143">
        <f>[7]STA_SP2_NO!$J$28</f>
        <v>0</v>
      </c>
      <c r="J8" s="118">
        <f>[8]STA_SP2_NO!$J$28</f>
        <v>0</v>
      </c>
      <c r="K8" s="143">
        <f>[9]STA_SP2_NO!$J$28</f>
        <v>0</v>
      </c>
      <c r="L8" s="387">
        <f>[10]STA_SP2_NO!$J$28</f>
        <v>0</v>
      </c>
      <c r="M8" s="394">
        <f>[11]STA_SP2_NO!$J$28</f>
        <v>0</v>
      </c>
      <c r="N8" s="401">
        <f t="shared" si="0"/>
        <v>0</v>
      </c>
    </row>
    <row r="9" spans="1:15" x14ac:dyDescent="0.25">
      <c r="A9" s="32">
        <v>5</v>
      </c>
      <c r="B9" s="33" t="s">
        <v>42</v>
      </c>
      <c r="C9" s="62">
        <f>[1]STA_SP2_NO!$J$29</f>
        <v>0</v>
      </c>
      <c r="D9" s="118">
        <f>[2]STA_SP2_NO!$J$29</f>
        <v>0</v>
      </c>
      <c r="E9" s="61">
        <f>[3]STA_SP2_NO!$J$29</f>
        <v>0</v>
      </c>
      <c r="F9" s="118">
        <f>[4]STA_SP2_NO!$J$29</f>
        <v>0</v>
      </c>
      <c r="G9" s="143">
        <f>[5]STA_SP2_NO!$J$29</f>
        <v>0</v>
      </c>
      <c r="H9" s="118">
        <f>[6]STA_SP2_NO!$J$29</f>
        <v>0</v>
      </c>
      <c r="I9" s="143">
        <f>[7]STA_SP2_NO!$J$29</f>
        <v>0</v>
      </c>
      <c r="J9" s="118">
        <f>[8]STA_SP2_NO!$J$29</f>
        <v>0</v>
      </c>
      <c r="K9" s="143">
        <f>[9]STA_SP2_NO!$J$29</f>
        <v>0</v>
      </c>
      <c r="L9" s="387">
        <f>[10]STA_SP2_NO!$J$29</f>
        <v>0</v>
      </c>
      <c r="M9" s="394">
        <f>[11]STA_SP2_NO!$J$29</f>
        <v>0</v>
      </c>
      <c r="N9" s="401">
        <f t="shared" si="0"/>
        <v>0</v>
      </c>
    </row>
    <row r="10" spans="1:15" x14ac:dyDescent="0.25">
      <c r="A10" s="32">
        <v>6</v>
      </c>
      <c r="B10" s="33" t="s">
        <v>43</v>
      </c>
      <c r="C10" s="62">
        <f>[1]STA_SP2_NO!$J$30</f>
        <v>0</v>
      </c>
      <c r="D10" s="118">
        <f>[2]STA_SP2_NO!$J$30</f>
        <v>2</v>
      </c>
      <c r="E10" s="61">
        <f>[3]STA_SP2_NO!$J$30</f>
        <v>0</v>
      </c>
      <c r="F10" s="118">
        <f>[4]STA_SP2_NO!$J$30</f>
        <v>0</v>
      </c>
      <c r="G10" s="143">
        <f>[5]STA_SP2_NO!$J$30</f>
        <v>0</v>
      </c>
      <c r="H10" s="118">
        <f>[6]STA_SP2_NO!$J$30</f>
        <v>1</v>
      </c>
      <c r="I10" s="143">
        <f>[7]STA_SP2_NO!$J$30</f>
        <v>1</v>
      </c>
      <c r="J10" s="118">
        <f>[8]STA_SP2_NO!$J$30</f>
        <v>0</v>
      </c>
      <c r="K10" s="143">
        <f>[9]STA_SP2_NO!$J$30</f>
        <v>0</v>
      </c>
      <c r="L10" s="387">
        <f>[10]STA_SP2_NO!$J$30</f>
        <v>1</v>
      </c>
      <c r="M10" s="394">
        <f>[11]STA_SP2_NO!$J$30</f>
        <v>0</v>
      </c>
      <c r="N10" s="401">
        <f t="shared" si="0"/>
        <v>5</v>
      </c>
    </row>
    <row r="11" spans="1:15" x14ac:dyDescent="0.25">
      <c r="A11" s="32">
        <v>7</v>
      </c>
      <c r="B11" s="33" t="s">
        <v>44</v>
      </c>
      <c r="C11" s="62">
        <f>[1]STA_SP2_NO!$J$31</f>
        <v>1</v>
      </c>
      <c r="D11" s="118">
        <f>[2]STA_SP2_NO!$J$31</f>
        <v>6</v>
      </c>
      <c r="E11" s="61">
        <f>[3]STA_SP2_NO!$J$31</f>
        <v>0</v>
      </c>
      <c r="F11" s="118">
        <f>[4]STA_SP2_NO!$J$31</f>
        <v>1</v>
      </c>
      <c r="G11" s="143">
        <f>[5]STA_SP2_NO!$J$31</f>
        <v>0</v>
      </c>
      <c r="H11" s="118">
        <f>[6]STA_SP2_NO!$J$31</f>
        <v>3</v>
      </c>
      <c r="I11" s="143">
        <f>[7]STA_SP2_NO!$J$31</f>
        <v>2</v>
      </c>
      <c r="J11" s="118">
        <f>[8]STA_SP2_NO!$J$31</f>
        <v>3</v>
      </c>
      <c r="K11" s="143">
        <f>[9]STA_SP2_NO!$J$31</f>
        <v>2</v>
      </c>
      <c r="L11" s="387">
        <f>[10]STA_SP2_NO!$J$31</f>
        <v>0</v>
      </c>
      <c r="M11" s="394">
        <f>[11]STA_SP2_NO!$J$31</f>
        <v>0</v>
      </c>
      <c r="N11" s="401">
        <f t="shared" si="0"/>
        <v>18</v>
      </c>
    </row>
    <row r="12" spans="1:15" ht="15.75" thickBot="1" x14ac:dyDescent="0.3">
      <c r="A12" s="34">
        <v>8</v>
      </c>
      <c r="B12" s="35" t="s">
        <v>45</v>
      </c>
      <c r="C12" s="62">
        <f>[1]STA_SP2_NO!$J$32</f>
        <v>0</v>
      </c>
      <c r="D12" s="118">
        <f>[2]STA_SP2_NO!$J$32</f>
        <v>0</v>
      </c>
      <c r="E12" s="61">
        <f>[3]STA_SP2_NO!$J$32</f>
        <v>0</v>
      </c>
      <c r="F12" s="118">
        <f>[4]STA_SP2_NO!$J$32</f>
        <v>0</v>
      </c>
      <c r="G12" s="143">
        <f>[5]STA_SP2_NO!$J$32</f>
        <v>0</v>
      </c>
      <c r="H12" s="118">
        <f>[6]STA_SP2_NO!$J$32</f>
        <v>0</v>
      </c>
      <c r="I12" s="143">
        <f>[7]STA_SP2_NO!$J$32</f>
        <v>0</v>
      </c>
      <c r="J12" s="118">
        <f>[8]STA_SP2_NO!$J$32</f>
        <v>0</v>
      </c>
      <c r="K12" s="143">
        <f>[9]STA_SP2_NO!$J$32</f>
        <v>0</v>
      </c>
      <c r="L12" s="387">
        <f>[10]STA_SP2_NO!$J$32</f>
        <v>0</v>
      </c>
      <c r="M12" s="394">
        <f>[11]STA_SP2_NO!$J$32</f>
        <v>0</v>
      </c>
      <c r="N12" s="401">
        <f t="shared" si="0"/>
        <v>0</v>
      </c>
    </row>
    <row r="13" spans="1:15" ht="15.75" thickBot="1" x14ac:dyDescent="0.3">
      <c r="A13" s="36"/>
      <c r="B13" s="37" t="s">
        <v>53</v>
      </c>
      <c r="C13" s="41">
        <f t="shared" ref="C13:F13" si="1">SUM(C5:C12)</f>
        <v>110</v>
      </c>
      <c r="D13" s="39">
        <f t="shared" si="1"/>
        <v>86</v>
      </c>
      <c r="E13" s="41">
        <f t="shared" si="1"/>
        <v>45</v>
      </c>
      <c r="F13" s="39">
        <f t="shared" si="1"/>
        <v>81</v>
      </c>
      <c r="G13" s="40">
        <f t="shared" ref="G13:N13" si="2">SUM(G5:G12)</f>
        <v>25</v>
      </c>
      <c r="H13" s="39">
        <f t="shared" si="2"/>
        <v>103</v>
      </c>
      <c r="I13" s="40">
        <f t="shared" si="2"/>
        <v>100</v>
      </c>
      <c r="J13" s="39">
        <f t="shared" si="2"/>
        <v>44</v>
      </c>
      <c r="K13" s="40">
        <f t="shared" si="2"/>
        <v>61</v>
      </c>
      <c r="L13" s="380">
        <f t="shared" si="2"/>
        <v>78</v>
      </c>
      <c r="M13" s="400">
        <f t="shared" si="2"/>
        <v>5</v>
      </c>
      <c r="N13" s="234">
        <f t="shared" si="2"/>
        <v>738</v>
      </c>
    </row>
    <row r="14" spans="1:15" x14ac:dyDescent="0.25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1"/>
      <c r="O14" s="1"/>
    </row>
    <row r="15" spans="1:15" ht="15.75" thickBot="1" x14ac:dyDescent="0.3">
      <c r="A15" s="1"/>
      <c r="B15" s="1"/>
      <c r="C15" s="1"/>
      <c r="D15" s="1"/>
      <c r="E15" s="1"/>
      <c r="F15" s="1"/>
      <c r="G15" s="341"/>
      <c r="H15" s="1"/>
      <c r="I15" s="341"/>
      <c r="J15" s="1"/>
      <c r="K15" s="341"/>
      <c r="L15" s="1"/>
      <c r="M15" s="341"/>
      <c r="O15" s="1"/>
    </row>
    <row r="16" spans="1:15" ht="15.75" thickBot="1" x14ac:dyDescent="0.3">
      <c r="A16" s="547" t="s">
        <v>52</v>
      </c>
      <c r="B16" s="548"/>
      <c r="C16" s="55">
        <f>C13/N13</f>
        <v>0.14905149051490515</v>
      </c>
      <c r="D16" s="56">
        <f>D13/N13</f>
        <v>0.11653116531165311</v>
      </c>
      <c r="E16" s="48">
        <f>E13/N13</f>
        <v>6.097560975609756E-2</v>
      </c>
      <c r="F16" s="47">
        <f>F13/N13</f>
        <v>0.10975609756097561</v>
      </c>
      <c r="G16" s="70">
        <f>G13/N13</f>
        <v>3.3875338753387531E-2</v>
      </c>
      <c r="H16" s="47">
        <f>H13/N13</f>
        <v>0.13956639566395665</v>
      </c>
      <c r="I16" s="70">
        <f>I13/N13</f>
        <v>0.13550135501355012</v>
      </c>
      <c r="J16" s="47">
        <f>J13/N13</f>
        <v>5.9620596205962058E-2</v>
      </c>
      <c r="K16" s="70">
        <f>K13/N13</f>
        <v>8.2655826558265588E-2</v>
      </c>
      <c r="L16" s="47">
        <f>L13/N13</f>
        <v>0.10569105691056911</v>
      </c>
      <c r="M16" s="342">
        <f>M13/N13</f>
        <v>6.7750677506775072E-3</v>
      </c>
      <c r="N16" s="258">
        <f>SUM(C16:M16)</f>
        <v>1</v>
      </c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ht="15.75" thickBot="1" x14ac:dyDescent="0.3">
      <c r="A18" s="1"/>
      <c r="B18" s="26"/>
      <c r="C18" s="457" t="s">
        <v>113</v>
      </c>
      <c r="D18" s="458"/>
      <c r="E18" s="458"/>
      <c r="F18" s="458"/>
      <c r="G18" s="458"/>
      <c r="H18" s="458"/>
      <c r="I18" s="458"/>
      <c r="J18" s="459"/>
      <c r="K18" s="459"/>
      <c r="L18" s="26"/>
      <c r="M18" s="26"/>
      <c r="N18" s="155" t="s">
        <v>35</v>
      </c>
    </row>
    <row r="19" spans="1:15" ht="15.75" thickBot="1" x14ac:dyDescent="0.3">
      <c r="A19" s="460" t="s">
        <v>0</v>
      </c>
      <c r="B19" s="534" t="s">
        <v>1</v>
      </c>
      <c r="C19" s="495" t="s">
        <v>2</v>
      </c>
      <c r="D19" s="496"/>
      <c r="E19" s="496"/>
      <c r="F19" s="496"/>
      <c r="G19" s="496"/>
      <c r="H19" s="496"/>
      <c r="I19" s="496"/>
      <c r="J19" s="496"/>
      <c r="K19" s="496"/>
      <c r="L19" s="496"/>
      <c r="M19" s="497"/>
      <c r="N19" s="507" t="s">
        <v>3</v>
      </c>
    </row>
    <row r="20" spans="1:15" x14ac:dyDescent="0.25">
      <c r="A20" s="499"/>
      <c r="B20" s="501"/>
      <c r="C20" s="526" t="s">
        <v>68</v>
      </c>
      <c r="D20" s="501" t="s">
        <v>4</v>
      </c>
      <c r="E20" s="521" t="s">
        <v>5</v>
      </c>
      <c r="F20" s="462" t="s">
        <v>6</v>
      </c>
      <c r="G20" s="503" t="s">
        <v>8</v>
      </c>
      <c r="H20" s="462" t="s">
        <v>93</v>
      </c>
      <c r="I20" s="503" t="s">
        <v>96</v>
      </c>
      <c r="J20" s="505" t="s">
        <v>9</v>
      </c>
      <c r="K20" s="503" t="s">
        <v>92</v>
      </c>
      <c r="L20" s="462" t="s">
        <v>10</v>
      </c>
      <c r="M20" s="538" t="s">
        <v>95</v>
      </c>
      <c r="N20" s="549"/>
    </row>
    <row r="21" spans="1:15" ht="15.75" thickBot="1" x14ac:dyDescent="0.3">
      <c r="A21" s="500"/>
      <c r="B21" s="502"/>
      <c r="C21" s="528"/>
      <c r="D21" s="500"/>
      <c r="E21" s="500"/>
      <c r="F21" s="500"/>
      <c r="G21" s="504"/>
      <c r="H21" s="463"/>
      <c r="I21" s="504"/>
      <c r="J21" s="506"/>
      <c r="K21" s="504"/>
      <c r="L21" s="463"/>
      <c r="M21" s="539"/>
      <c r="N21" s="550"/>
    </row>
    <row r="22" spans="1:15" x14ac:dyDescent="0.25">
      <c r="A22" s="30">
        <v>1</v>
      </c>
      <c r="B22" s="31" t="s">
        <v>38</v>
      </c>
      <c r="C22" s="62">
        <f>[1]STA_SP2_NO!$K$25</f>
        <v>8940.75</v>
      </c>
      <c r="D22" s="118">
        <f>[2]STA_SP2_NO!$K$25</f>
        <v>2676.68</v>
      </c>
      <c r="E22" s="61">
        <f>[3]STA_SP2_NO!$K$25</f>
        <v>3429</v>
      </c>
      <c r="F22" s="118">
        <f>[4]STA_SP2_NO!$K$25</f>
        <v>2868</v>
      </c>
      <c r="G22" s="143">
        <f>[5]STA_SP2_NO!$K$25</f>
        <v>14755</v>
      </c>
      <c r="H22" s="118">
        <f>[6]STA_SP2_NO!$K$25</f>
        <v>11210.38</v>
      </c>
      <c r="I22" s="143">
        <f>[7]STA_SP2_NO!$K$25</f>
        <v>11075</v>
      </c>
      <c r="J22" s="118">
        <f>[8]STA_SP2_NO!$K$25</f>
        <v>3969</v>
      </c>
      <c r="K22" s="143">
        <f>[9]STA_SP2_NO!$K$25</f>
        <v>9590.61</v>
      </c>
      <c r="L22" s="387">
        <f>[10]STA_SP2_NO!$K$25</f>
        <v>12180</v>
      </c>
      <c r="M22" s="394">
        <f>[11]STA_SP2_NO!$K$25</f>
        <v>248.65</v>
      </c>
      <c r="N22" s="397">
        <f t="shared" ref="N22:N29" si="3">SUM(C22:M22)</f>
        <v>80943.069999999992</v>
      </c>
    </row>
    <row r="23" spans="1:15" x14ac:dyDescent="0.25">
      <c r="A23" s="32">
        <v>2</v>
      </c>
      <c r="B23" s="33" t="s">
        <v>39</v>
      </c>
      <c r="C23" s="62">
        <f>[1]STA_SP2_NO!$K$26</f>
        <v>11848.46</v>
      </c>
      <c r="D23" s="118">
        <f>[2]STA_SP2_NO!$K$26</f>
        <v>15277.99</v>
      </c>
      <c r="E23" s="61">
        <f>[3]STA_SP2_NO!$K$26</f>
        <v>17686</v>
      </c>
      <c r="F23" s="118">
        <f>[4]STA_SP2_NO!$K$26</f>
        <v>5682.24</v>
      </c>
      <c r="G23" s="143">
        <f>[5]STA_SP2_NO!$K$26</f>
        <v>1984</v>
      </c>
      <c r="H23" s="118">
        <f>[6]STA_SP2_NO!$K$26</f>
        <v>7517.94</v>
      </c>
      <c r="I23" s="143">
        <f>[7]STA_SP2_NO!$K$26</f>
        <v>17519</v>
      </c>
      <c r="J23" s="118">
        <f>[8]STA_SP2_NO!$K$26</f>
        <v>2425</v>
      </c>
      <c r="K23" s="143">
        <f>[9]STA_SP2_NO!$K$26</f>
        <v>15578.88</v>
      </c>
      <c r="L23" s="387">
        <f>[10]STA_SP2_NO!$K$26</f>
        <v>8737</v>
      </c>
      <c r="M23" s="394">
        <f>[11]STA_SP2_NO!$K$26</f>
        <v>215.78</v>
      </c>
      <c r="N23" s="397">
        <f t="shared" si="3"/>
        <v>104472.29000000001</v>
      </c>
    </row>
    <row r="24" spans="1:15" x14ac:dyDescent="0.25">
      <c r="A24" s="32">
        <v>3</v>
      </c>
      <c r="B24" s="33" t="s">
        <v>40</v>
      </c>
      <c r="C24" s="62">
        <f>[1]STA_SP2_NO!$K$27</f>
        <v>381.37</v>
      </c>
      <c r="D24" s="118">
        <f>[2]STA_SP2_NO!$K$27</f>
        <v>254.82</v>
      </c>
      <c r="E24" s="61">
        <f>[3]STA_SP2_NO!$K$27</f>
        <v>178</v>
      </c>
      <c r="F24" s="118">
        <f>[4]STA_SP2_NO!$K$27</f>
        <v>1017.27</v>
      </c>
      <c r="G24" s="143">
        <f>[5]STA_SP2_NO!$K$27</f>
        <v>79</v>
      </c>
      <c r="H24" s="118">
        <f>[6]STA_SP2_NO!$K$27</f>
        <v>435.95</v>
      </c>
      <c r="I24" s="143">
        <f>[7]STA_SP2_NO!$K$27</f>
        <v>864</v>
      </c>
      <c r="J24" s="118">
        <f>[8]STA_SP2_NO!$K$27</f>
        <v>101</v>
      </c>
      <c r="K24" s="143">
        <f>[9]STA_SP2_NO!$K$27</f>
        <v>442.2</v>
      </c>
      <c r="L24" s="387">
        <f>[10]STA_SP2_NO!$K$27</f>
        <v>462</v>
      </c>
      <c r="M24" s="394">
        <f>[11]STA_SP2_NO!$K$27</f>
        <v>0</v>
      </c>
      <c r="N24" s="397">
        <f t="shared" si="3"/>
        <v>4215.6099999999997</v>
      </c>
    </row>
    <row r="25" spans="1:15" x14ac:dyDescent="0.25">
      <c r="A25" s="32">
        <v>4</v>
      </c>
      <c r="B25" s="33" t="s">
        <v>41</v>
      </c>
      <c r="C25" s="62">
        <f>[1]STA_SP2_NO!$K$28</f>
        <v>0</v>
      </c>
      <c r="D25" s="118">
        <f>[2]STA_SP2_NO!$K$28</f>
        <v>0</v>
      </c>
      <c r="E25" s="61">
        <f>[3]STA_SP2_NO!$K$28</f>
        <v>0</v>
      </c>
      <c r="F25" s="118">
        <f>[4]STA_SP2_NO!$K$28</f>
        <v>0</v>
      </c>
      <c r="G25" s="143">
        <f>[5]STA_SP2_NO!$K$28</f>
        <v>0</v>
      </c>
      <c r="H25" s="118">
        <f>[6]STA_SP2_NO!$K$28</f>
        <v>0</v>
      </c>
      <c r="I25" s="143">
        <f>[7]STA_SP2_NO!$K$28</f>
        <v>0</v>
      </c>
      <c r="J25" s="118">
        <f>[8]STA_SP2_NO!$K$28</f>
        <v>0</v>
      </c>
      <c r="K25" s="143">
        <f>[9]STA_SP2_NO!$K$28</f>
        <v>0</v>
      </c>
      <c r="L25" s="387">
        <f>[10]STA_SP2_NO!$K$28</f>
        <v>0</v>
      </c>
      <c r="M25" s="394">
        <f>[11]STA_SP2_NO!$K$28</f>
        <v>0</v>
      </c>
      <c r="N25" s="397">
        <f t="shared" si="3"/>
        <v>0</v>
      </c>
    </row>
    <row r="26" spans="1:15" x14ac:dyDescent="0.25">
      <c r="A26" s="32">
        <v>5</v>
      </c>
      <c r="B26" s="33" t="s">
        <v>42</v>
      </c>
      <c r="C26" s="62">
        <f>[1]STA_SP2_NO!$K$29</f>
        <v>0</v>
      </c>
      <c r="D26" s="118">
        <f>[2]STA_SP2_NO!$K$29</f>
        <v>0</v>
      </c>
      <c r="E26" s="61">
        <f>[3]STA_SP2_NO!$K$29</f>
        <v>0</v>
      </c>
      <c r="F26" s="118">
        <f>[4]STA_SP2_NO!$K$29</f>
        <v>0</v>
      </c>
      <c r="G26" s="143">
        <f>[5]STA_SP2_NO!$K$29</f>
        <v>0</v>
      </c>
      <c r="H26" s="118">
        <f>[6]STA_SP2_NO!$K$29</f>
        <v>0</v>
      </c>
      <c r="I26" s="143">
        <f>[7]STA_SP2_NO!$K$29</f>
        <v>0</v>
      </c>
      <c r="J26" s="118">
        <f>[8]STA_SP2_NO!$K$29</f>
        <v>0</v>
      </c>
      <c r="K26" s="143">
        <f>[9]STA_SP2_NO!$K$29</f>
        <v>0</v>
      </c>
      <c r="L26" s="387">
        <f>[10]STA_SP2_NO!$K$29</f>
        <v>0</v>
      </c>
      <c r="M26" s="394">
        <f>[11]STA_SP2_NO!$K$29</f>
        <v>0</v>
      </c>
      <c r="N26" s="397">
        <f t="shared" si="3"/>
        <v>0</v>
      </c>
    </row>
    <row r="27" spans="1:15" x14ac:dyDescent="0.25">
      <c r="A27" s="32">
        <v>6</v>
      </c>
      <c r="B27" s="33" t="s">
        <v>43</v>
      </c>
      <c r="C27" s="62">
        <f>[1]STA_SP2_NO!$K$30</f>
        <v>0</v>
      </c>
      <c r="D27" s="118">
        <f>[2]STA_SP2_NO!$K$30</f>
        <v>1070.3800000000001</v>
      </c>
      <c r="E27" s="61">
        <f>[3]STA_SP2_NO!$K$30</f>
        <v>0</v>
      </c>
      <c r="F27" s="118">
        <f>[4]STA_SP2_NO!$K$30</f>
        <v>0</v>
      </c>
      <c r="G27" s="143">
        <f>[5]STA_SP2_NO!$K$30</f>
        <v>0</v>
      </c>
      <c r="H27" s="118">
        <f>[6]STA_SP2_NO!$K$30</f>
        <v>50.65</v>
      </c>
      <c r="I27" s="143">
        <f>[7]STA_SP2_NO!$K$30</f>
        <v>232</v>
      </c>
      <c r="J27" s="118">
        <f>[8]STA_SP2_NO!$K$30</f>
        <v>0</v>
      </c>
      <c r="K27" s="143">
        <f>[9]STA_SP2_NO!$K$30</f>
        <v>2.36</v>
      </c>
      <c r="L27" s="387">
        <f>[10]STA_SP2_NO!$K$30</f>
        <v>12</v>
      </c>
      <c r="M27" s="394">
        <f>[11]STA_SP2_NO!$K$30</f>
        <v>0</v>
      </c>
      <c r="N27" s="397">
        <f t="shared" si="3"/>
        <v>1367.39</v>
      </c>
    </row>
    <row r="28" spans="1:15" x14ac:dyDescent="0.25">
      <c r="A28" s="32">
        <v>7</v>
      </c>
      <c r="B28" s="33" t="s">
        <v>44</v>
      </c>
      <c r="C28" s="62">
        <f>[1]STA_SP2_NO!$K$31</f>
        <v>12.91</v>
      </c>
      <c r="D28" s="118">
        <f>[2]STA_SP2_NO!$K$31</f>
        <v>869.57</v>
      </c>
      <c r="E28" s="61">
        <f>[3]STA_SP2_NO!$K$31</f>
        <v>0</v>
      </c>
      <c r="F28" s="118">
        <f>[4]STA_SP2_NO!$K$31</f>
        <v>66.08</v>
      </c>
      <c r="G28" s="143">
        <f>[5]STA_SP2_NO!$K$31</f>
        <v>0</v>
      </c>
      <c r="H28" s="118">
        <f>[6]STA_SP2_NO!$K$31</f>
        <v>629.41999999999996</v>
      </c>
      <c r="I28" s="143">
        <f>[7]STA_SP2_NO!$K$31</f>
        <v>206</v>
      </c>
      <c r="J28" s="118">
        <f>[8]STA_SP2_NO!$K$31</f>
        <v>192</v>
      </c>
      <c r="K28" s="143">
        <f>[9]STA_SP2_NO!$K$31</f>
        <v>111.46</v>
      </c>
      <c r="L28" s="387">
        <f>[10]STA_SP2_NO!$K$31</f>
        <v>0</v>
      </c>
      <c r="M28" s="394">
        <f>[11]STA_SP2_NO!$K$31</f>
        <v>0</v>
      </c>
      <c r="N28" s="397">
        <f t="shared" si="3"/>
        <v>2087.44</v>
      </c>
    </row>
    <row r="29" spans="1:15" ht="15.75" thickBot="1" x14ac:dyDescent="0.3">
      <c r="A29" s="34">
        <v>8</v>
      </c>
      <c r="B29" s="35" t="s">
        <v>45</v>
      </c>
      <c r="C29" s="62">
        <f>[1]STA_SP2_NO!$K$32</f>
        <v>0</v>
      </c>
      <c r="D29" s="118">
        <f>[2]STA_SP2_NO!$K$32</f>
        <v>0</v>
      </c>
      <c r="E29" s="61">
        <f>[3]STA_SP2_NO!$K$32</f>
        <v>0</v>
      </c>
      <c r="F29" s="118">
        <f>[4]STA_SP2_NO!$K$32</f>
        <v>0</v>
      </c>
      <c r="G29" s="143">
        <f>[5]STA_SP2_NO!$K$32</f>
        <v>0</v>
      </c>
      <c r="H29" s="118">
        <f>[6]STA_SP2_NO!$K$32</f>
        <v>0</v>
      </c>
      <c r="I29" s="143">
        <f>[7]STA_SP2_NO!$K$32</f>
        <v>0</v>
      </c>
      <c r="J29" s="118">
        <f>[8]STA_SP2_NO!$K$32</f>
        <v>0</v>
      </c>
      <c r="K29" s="143">
        <f>[9]STA_SP2_NO!$K$32</f>
        <v>0</v>
      </c>
      <c r="L29" s="387">
        <f>[10]STA_SP2_NO!$K$32</f>
        <v>0</v>
      </c>
      <c r="M29" s="394">
        <f>[11]STA_SP2_NO!$K$32</f>
        <v>0</v>
      </c>
      <c r="N29" s="397">
        <f t="shared" si="3"/>
        <v>0</v>
      </c>
    </row>
    <row r="30" spans="1:15" ht="15.75" thickBot="1" x14ac:dyDescent="0.3">
      <c r="A30" s="57"/>
      <c r="B30" s="37" t="s">
        <v>3</v>
      </c>
      <c r="C30" s="122">
        <f>SUM(C22:C28)</f>
        <v>21183.489999999998</v>
      </c>
      <c r="D30" s="51">
        <f t="shared" ref="D30:E30" si="4">SUM(D22:D29)</f>
        <v>20149.439999999999</v>
      </c>
      <c r="E30" s="41">
        <f t="shared" si="4"/>
        <v>21293</v>
      </c>
      <c r="F30" s="51">
        <f t="shared" ref="F30:M30" si="5">SUM(F22:F29)</f>
        <v>9633.59</v>
      </c>
      <c r="G30" s="40">
        <f t="shared" si="5"/>
        <v>16818</v>
      </c>
      <c r="H30" s="39">
        <f t="shared" si="5"/>
        <v>19844.34</v>
      </c>
      <c r="I30" s="40">
        <f t="shared" si="5"/>
        <v>29896</v>
      </c>
      <c r="J30" s="39">
        <f t="shared" si="5"/>
        <v>6687</v>
      </c>
      <c r="K30" s="40">
        <f t="shared" si="5"/>
        <v>25725.51</v>
      </c>
      <c r="L30" s="338">
        <f t="shared" si="5"/>
        <v>21391</v>
      </c>
      <c r="M30" s="396">
        <f t="shared" si="5"/>
        <v>464.43</v>
      </c>
      <c r="N30" s="234">
        <f>SUM(C30:M30)</f>
        <v>193085.8</v>
      </c>
    </row>
    <row r="31" spans="1:15" ht="15.75" thickBot="1" x14ac:dyDescent="0.3">
      <c r="A31" s="1"/>
      <c r="B31" s="1"/>
      <c r="C31" s="1"/>
      <c r="D31" s="1"/>
      <c r="E31" s="1"/>
      <c r="F31" s="1"/>
      <c r="G31" s="341"/>
      <c r="H31" s="1"/>
      <c r="I31" s="341"/>
      <c r="J31" s="1"/>
      <c r="K31" s="341"/>
      <c r="L31" s="1"/>
      <c r="M31" s="348"/>
      <c r="N31" s="1"/>
    </row>
    <row r="32" spans="1:15" ht="15.75" thickBot="1" x14ac:dyDescent="0.3">
      <c r="A32" s="545" t="s">
        <v>52</v>
      </c>
      <c r="B32" s="546"/>
      <c r="C32" s="72">
        <f>C30/N30</f>
        <v>0.10971024280397626</v>
      </c>
      <c r="D32" s="71">
        <f>D30/N30</f>
        <v>0.10435485157375633</v>
      </c>
      <c r="E32" s="72">
        <f>E30/N30</f>
        <v>0.11027739999523528</v>
      </c>
      <c r="F32" s="47">
        <f>F30/N30</f>
        <v>4.9892793773545233E-2</v>
      </c>
      <c r="G32" s="48">
        <f>G30/N30</f>
        <v>8.7101174710931623E-2</v>
      </c>
      <c r="H32" s="398">
        <f>H30/N30</f>
        <v>0.10277472501861867</v>
      </c>
      <c r="I32" s="48">
        <f>I30/N30</f>
        <v>0.15483272203341727</v>
      </c>
      <c r="J32" s="398">
        <f>J30/N30</f>
        <v>3.4632272285170636E-2</v>
      </c>
      <c r="K32" s="48">
        <f>K30/N30</f>
        <v>0.13323356766784508</v>
      </c>
      <c r="L32" s="399">
        <f>L30/N30</f>
        <v>0.11078494638134964</v>
      </c>
      <c r="M32" s="342">
        <f>M30/N30</f>
        <v>2.4053037561540002E-3</v>
      </c>
      <c r="N32" s="258">
        <f>SUM(C32:M32)</f>
        <v>1</v>
      </c>
    </row>
  </sheetData>
  <mergeCells count="34">
    <mergeCell ref="N19:N21"/>
    <mergeCell ref="C20:C21"/>
    <mergeCell ref="D20:D21"/>
    <mergeCell ref="E20:E21"/>
    <mergeCell ref="N2:N4"/>
    <mergeCell ref="C3:C4"/>
    <mergeCell ref="D3:D4"/>
    <mergeCell ref="E3:E4"/>
    <mergeCell ref="F3:F4"/>
    <mergeCell ref="G3:G4"/>
    <mergeCell ref="L3:L4"/>
    <mergeCell ref="K20:K21"/>
    <mergeCell ref="L20:L21"/>
    <mergeCell ref="M3:M4"/>
    <mergeCell ref="M20:M21"/>
    <mergeCell ref="A16:B16"/>
    <mergeCell ref="C1:K1"/>
    <mergeCell ref="A2:A4"/>
    <mergeCell ref="B2:B4"/>
    <mergeCell ref="H3:H4"/>
    <mergeCell ref="I3:I4"/>
    <mergeCell ref="J3:J4"/>
    <mergeCell ref="K3:K4"/>
    <mergeCell ref="C2:M2"/>
    <mergeCell ref="A32:B32"/>
    <mergeCell ref="C18:K18"/>
    <mergeCell ref="A19:A21"/>
    <mergeCell ref="B19:B21"/>
    <mergeCell ref="F20:F21"/>
    <mergeCell ref="G20:G21"/>
    <mergeCell ref="H20:H21"/>
    <mergeCell ref="I20:I21"/>
    <mergeCell ref="J20:J21"/>
    <mergeCell ref="C19:M19"/>
  </mergeCells>
  <pageMargins left="0.25" right="0.25" top="0.75" bottom="0.75" header="0.3" footer="0.3"/>
  <pageSetup paperSize="9" scale="9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R18" sqref="R18"/>
    </sheetView>
  </sheetViews>
  <sheetFormatPr defaultRowHeight="15" x14ac:dyDescent="0.25"/>
  <cols>
    <col min="1" max="1" width="3.7109375" style="1" customWidth="1"/>
    <col min="2" max="2" width="22.5703125" customWidth="1"/>
  </cols>
  <sheetData>
    <row r="1" spans="1:15" ht="30" customHeight="1" thickBot="1" x14ac:dyDescent="0.3">
      <c r="B1" s="26"/>
      <c r="C1" s="457" t="s">
        <v>114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52"/>
    </row>
    <row r="2" spans="1:15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507" t="s">
        <v>3</v>
      </c>
    </row>
    <row r="3" spans="1:15" x14ac:dyDescent="0.25">
      <c r="A3" s="499"/>
      <c r="B3" s="501"/>
      <c r="C3" s="526" t="s">
        <v>68</v>
      </c>
      <c r="D3" s="501" t="s">
        <v>4</v>
      </c>
      <c r="E3" s="521" t="s">
        <v>5</v>
      </c>
      <c r="F3" s="462" t="s">
        <v>6</v>
      </c>
      <c r="G3" s="514" t="s">
        <v>8</v>
      </c>
      <c r="H3" s="462" t="s">
        <v>93</v>
      </c>
      <c r="I3" s="503" t="s">
        <v>96</v>
      </c>
      <c r="J3" s="505" t="s">
        <v>9</v>
      </c>
      <c r="K3" s="503" t="s">
        <v>92</v>
      </c>
      <c r="L3" s="462" t="s">
        <v>10</v>
      </c>
      <c r="M3" s="538" t="s">
        <v>95</v>
      </c>
      <c r="N3" s="549"/>
    </row>
    <row r="4" spans="1:15" ht="15.75" thickBot="1" x14ac:dyDescent="0.3">
      <c r="A4" s="500"/>
      <c r="B4" s="502"/>
      <c r="C4" s="528"/>
      <c r="D4" s="500"/>
      <c r="E4" s="500"/>
      <c r="F4" s="500"/>
      <c r="G4" s="515"/>
      <c r="H4" s="463"/>
      <c r="I4" s="504"/>
      <c r="J4" s="506"/>
      <c r="K4" s="504"/>
      <c r="L4" s="463"/>
      <c r="M4" s="539"/>
      <c r="N4" s="550"/>
    </row>
    <row r="5" spans="1:15" x14ac:dyDescent="0.25">
      <c r="A5" s="30">
        <v>1</v>
      </c>
      <c r="B5" s="31" t="s">
        <v>38</v>
      </c>
      <c r="C5" s="62">
        <f>[1]STA_SP2_NO!$J$34</f>
        <v>5</v>
      </c>
      <c r="D5" s="118">
        <f>[2]STA_SP2_NO!$J$34</f>
        <v>0</v>
      </c>
      <c r="E5" s="61">
        <f>[3]STA_SP2_NO!$J$34</f>
        <v>1</v>
      </c>
      <c r="F5" s="118">
        <f>[4]STA_SP2_NO!$J$34</f>
        <v>0</v>
      </c>
      <c r="G5" s="143">
        <f>[5]STA_SP2_NO!$J$34</f>
        <v>1</v>
      </c>
      <c r="H5" s="118">
        <f>[6]STA_SP2_NO!$J$34</f>
        <v>0</v>
      </c>
      <c r="I5" s="143">
        <f>[7]STA_SP2_NO!$J$34</f>
        <v>0</v>
      </c>
      <c r="J5" s="118">
        <f>[8]STA_SP2_NO!$J$34</f>
        <v>1</v>
      </c>
      <c r="K5" s="143">
        <f>[9]STA_SP2_NO!$J$34</f>
        <v>1</v>
      </c>
      <c r="L5" s="387">
        <f>[10]STA_SP2_NO!$J$34</f>
        <v>0</v>
      </c>
      <c r="M5" s="394">
        <f>[11]STA_SP2_NO!$J$34</f>
        <v>0</v>
      </c>
      <c r="N5" s="397">
        <f t="shared" ref="N5:N12" si="0">SUM(C5:M5)</f>
        <v>9</v>
      </c>
    </row>
    <row r="6" spans="1:15" x14ac:dyDescent="0.25">
      <c r="A6" s="32">
        <v>2</v>
      </c>
      <c r="B6" s="33" t="s">
        <v>39</v>
      </c>
      <c r="C6" s="62">
        <f>[1]STA_SP2_NO!$J$35</f>
        <v>0</v>
      </c>
      <c r="D6" s="118">
        <f>[2]STA_SP2_NO!$J$35</f>
        <v>0</v>
      </c>
      <c r="E6" s="61">
        <f>[3]STA_SP2_NO!$J$35</f>
        <v>1</v>
      </c>
      <c r="F6" s="118">
        <f>[4]STA_SP2_NO!$J$35</f>
        <v>0</v>
      </c>
      <c r="G6" s="143">
        <f>[5]STA_SP2_NO!$J$35</f>
        <v>0</v>
      </c>
      <c r="H6" s="118">
        <f>[6]STA_SP2_NO!$J$35</f>
        <v>0</v>
      </c>
      <c r="I6" s="143">
        <f>[7]STA_SP2_NO!$J$35</f>
        <v>0</v>
      </c>
      <c r="J6" s="118">
        <f>[8]STA_SP2_NO!$J$35</f>
        <v>0</v>
      </c>
      <c r="K6" s="143">
        <f>[9]STA_SP2_NO!$J$35</f>
        <v>0</v>
      </c>
      <c r="L6" s="387">
        <f>[10]STA_SP2_NO!$J$35</f>
        <v>0</v>
      </c>
      <c r="M6" s="394">
        <f>[11]STA_SP2_NO!$J$35</f>
        <v>0</v>
      </c>
      <c r="N6" s="397">
        <f t="shared" si="0"/>
        <v>1</v>
      </c>
    </row>
    <row r="7" spans="1:15" x14ac:dyDescent="0.25">
      <c r="A7" s="32">
        <v>3</v>
      </c>
      <c r="B7" s="33" t="s">
        <v>40</v>
      </c>
      <c r="C7" s="62">
        <f>[1]STA_SP2_NO!$J$36</f>
        <v>0</v>
      </c>
      <c r="D7" s="118">
        <f>[2]STA_SP2_NO!$J$36</f>
        <v>0</v>
      </c>
      <c r="E7" s="61">
        <f>[3]STA_SP2_NO!$J$36</f>
        <v>0</v>
      </c>
      <c r="F7" s="118">
        <f>[4]STA_SP2_NO!$J$36</f>
        <v>0</v>
      </c>
      <c r="G7" s="143">
        <f>[5]STA_SP2_NO!$J$36</f>
        <v>0</v>
      </c>
      <c r="H7" s="118">
        <f>[6]STA_SP2_NO!$J$36</f>
        <v>0</v>
      </c>
      <c r="I7" s="143">
        <f>[7]STA_SP2_NO!$J$36</f>
        <v>0</v>
      </c>
      <c r="J7" s="118">
        <f>[8]STA_SP2_NO!$J$36</f>
        <v>0</v>
      </c>
      <c r="K7" s="143">
        <f>[9]STA_SP2_NO!$J$36</f>
        <v>0</v>
      </c>
      <c r="L7" s="387">
        <f>[10]STA_SP2_NO!$J$36</f>
        <v>0</v>
      </c>
      <c r="M7" s="394">
        <f>[11]STA_SP2_NO!$J$36</f>
        <v>0</v>
      </c>
      <c r="N7" s="397">
        <f t="shared" si="0"/>
        <v>0</v>
      </c>
    </row>
    <row r="8" spans="1:15" x14ac:dyDescent="0.25">
      <c r="A8" s="32">
        <v>4</v>
      </c>
      <c r="B8" s="33" t="s">
        <v>41</v>
      </c>
      <c r="C8" s="62">
        <f>[1]STA_SP2_NO!$J$37</f>
        <v>0</v>
      </c>
      <c r="D8" s="118">
        <f>[2]STA_SP2_NO!$J$37</f>
        <v>0</v>
      </c>
      <c r="E8" s="61">
        <f>[3]STA_SP2_NO!$J$37</f>
        <v>0</v>
      </c>
      <c r="F8" s="118">
        <f>[4]STA_SP2_NO!$J$37</f>
        <v>0</v>
      </c>
      <c r="G8" s="143">
        <f>[5]STA_SP2_NO!$J$37</f>
        <v>0</v>
      </c>
      <c r="H8" s="118">
        <f>[6]STA_SP2_NO!$J$37</f>
        <v>0</v>
      </c>
      <c r="I8" s="143">
        <f>[7]STA_SP2_NO!$J$37</f>
        <v>0</v>
      </c>
      <c r="J8" s="118">
        <f>[8]STA_SP2_NO!$J$37</f>
        <v>0</v>
      </c>
      <c r="K8" s="143">
        <f>[9]STA_SP2_NO!$J$37</f>
        <v>0</v>
      </c>
      <c r="L8" s="387">
        <f>[10]STA_SP2_NO!$J$37</f>
        <v>0</v>
      </c>
      <c r="M8" s="394">
        <f>[11]STA_SP2_NO!$J$37</f>
        <v>0</v>
      </c>
      <c r="N8" s="397">
        <f t="shared" si="0"/>
        <v>0</v>
      </c>
    </row>
    <row r="9" spans="1:15" x14ac:dyDescent="0.25">
      <c r="A9" s="32">
        <v>5</v>
      </c>
      <c r="B9" s="33" t="s">
        <v>42</v>
      </c>
      <c r="C9" s="62">
        <f>[1]STA_SP2_NO!$J$38</f>
        <v>0</v>
      </c>
      <c r="D9" s="118">
        <f>[2]STA_SP2_NO!$J$38</f>
        <v>0</v>
      </c>
      <c r="E9" s="61">
        <f>[3]STA_SP2_NO!$J$38</f>
        <v>0</v>
      </c>
      <c r="F9" s="118">
        <f>[4]STA_SP2_NO!$J$38</f>
        <v>0</v>
      </c>
      <c r="G9" s="143">
        <f>[5]STA_SP2_NO!$J$38</f>
        <v>0</v>
      </c>
      <c r="H9" s="118">
        <f>[6]STA_SP2_NO!$J$38</f>
        <v>0</v>
      </c>
      <c r="I9" s="143">
        <f>[7]STA_SP2_NO!$J$38</f>
        <v>0</v>
      </c>
      <c r="J9" s="118">
        <f>[8]STA_SP2_NO!$J$38</f>
        <v>0</v>
      </c>
      <c r="K9" s="143">
        <f>[9]STA_SP2_NO!$J$38</f>
        <v>0</v>
      </c>
      <c r="L9" s="387">
        <f>[10]STA_SP2_NO!$J$38</f>
        <v>0</v>
      </c>
      <c r="M9" s="394">
        <f>[11]STA_SP2_NO!$J$38</f>
        <v>0</v>
      </c>
      <c r="N9" s="397">
        <f t="shared" si="0"/>
        <v>0</v>
      </c>
    </row>
    <row r="10" spans="1:15" x14ac:dyDescent="0.25">
      <c r="A10" s="32">
        <v>6</v>
      </c>
      <c r="B10" s="33" t="s">
        <v>43</v>
      </c>
      <c r="C10" s="62">
        <f>[1]STA_SP2_NO!$J$39</f>
        <v>0</v>
      </c>
      <c r="D10" s="118">
        <f>[2]STA_SP2_NO!$J$39</f>
        <v>0</v>
      </c>
      <c r="E10" s="61">
        <f>[3]STA_SP2_NO!$J$39</f>
        <v>0</v>
      </c>
      <c r="F10" s="118">
        <f>[4]STA_SP2_NO!$J$39</f>
        <v>0</v>
      </c>
      <c r="G10" s="143">
        <f>[5]STA_SP2_NO!$J$39</f>
        <v>0</v>
      </c>
      <c r="H10" s="118">
        <f>[6]STA_SP2_NO!$J$39</f>
        <v>0</v>
      </c>
      <c r="I10" s="143">
        <f>[7]STA_SP2_NO!$J$39</f>
        <v>0</v>
      </c>
      <c r="J10" s="118">
        <f>[8]STA_SP2_NO!$J$39</f>
        <v>0</v>
      </c>
      <c r="K10" s="143">
        <f>[9]STA_SP2_NO!$J$39</f>
        <v>0</v>
      </c>
      <c r="L10" s="387">
        <f>[10]STA_SP2_NO!$J$39</f>
        <v>0</v>
      </c>
      <c r="M10" s="394">
        <f>[11]STA_SP2_NO!$J$39</f>
        <v>0</v>
      </c>
      <c r="N10" s="397">
        <f t="shared" si="0"/>
        <v>0</v>
      </c>
    </row>
    <row r="11" spans="1:15" x14ac:dyDescent="0.25">
      <c r="A11" s="32">
        <v>7</v>
      </c>
      <c r="B11" s="33" t="s">
        <v>44</v>
      </c>
      <c r="C11" s="62">
        <f>[1]STA_SP2_NO!$J$40</f>
        <v>0</v>
      </c>
      <c r="D11" s="118">
        <f>[2]STA_SP2_NO!$J$40</f>
        <v>0</v>
      </c>
      <c r="E11" s="61">
        <f>[3]STA_SP2_NO!$J$40</f>
        <v>0</v>
      </c>
      <c r="F11" s="118">
        <f>[4]STA_SP2_NO!$J$40</f>
        <v>0</v>
      </c>
      <c r="G11" s="143">
        <f>[5]STA_SP2_NO!$J$40</f>
        <v>0</v>
      </c>
      <c r="H11" s="118">
        <f>[6]STA_SP2_NO!$J$40</f>
        <v>0</v>
      </c>
      <c r="I11" s="143">
        <f>[7]STA_SP2_NO!$J$40</f>
        <v>0</v>
      </c>
      <c r="J11" s="118">
        <f>[8]STA_SP2_NO!$J$40</f>
        <v>0</v>
      </c>
      <c r="K11" s="143">
        <f>[9]STA_SP2_NO!$J$40</f>
        <v>0</v>
      </c>
      <c r="L11" s="387">
        <f>[10]STA_SP2_NO!$J$40</f>
        <v>0</v>
      </c>
      <c r="M11" s="394">
        <f>[11]STA_SP2_NO!$J$40</f>
        <v>0</v>
      </c>
      <c r="N11" s="397">
        <f t="shared" si="0"/>
        <v>0</v>
      </c>
    </row>
    <row r="12" spans="1:15" ht="15.75" thickBot="1" x14ac:dyDescent="0.3">
      <c r="A12" s="34">
        <v>8</v>
      </c>
      <c r="B12" s="35" t="s">
        <v>45</v>
      </c>
      <c r="C12" s="62">
        <f>[1]STA_SP2_NO!$J$41</f>
        <v>0</v>
      </c>
      <c r="D12" s="118">
        <f>[2]STA_SP2_NO!$J$41</f>
        <v>0</v>
      </c>
      <c r="E12" s="61">
        <f>[3]STA_SP2_NO!$J$41</f>
        <v>0</v>
      </c>
      <c r="F12" s="118">
        <f>[4]STA_SP2_NO!$J$41</f>
        <v>0</v>
      </c>
      <c r="G12" s="143">
        <f>[5]STA_SP2_NO!$J$41</f>
        <v>0</v>
      </c>
      <c r="H12" s="118">
        <f>[6]STA_SP2_NO!$J$41</f>
        <v>0</v>
      </c>
      <c r="I12" s="143">
        <f>[7]STA_SP2_NO!$J$41</f>
        <v>0</v>
      </c>
      <c r="J12" s="118">
        <f>[8]STA_SP2_NO!$J$41</f>
        <v>0</v>
      </c>
      <c r="K12" s="143">
        <f>[9]STA_SP2_NO!$J$41</f>
        <v>0</v>
      </c>
      <c r="L12" s="387">
        <f>[10]STA_SP2_NO!$J$41</f>
        <v>0</v>
      </c>
      <c r="M12" s="394">
        <f>[11]STA_SP2_NO!$J$41</f>
        <v>0</v>
      </c>
      <c r="N12" s="397">
        <f t="shared" si="0"/>
        <v>0</v>
      </c>
    </row>
    <row r="13" spans="1:15" ht="15.75" thickBot="1" x14ac:dyDescent="0.3">
      <c r="A13" s="57"/>
      <c r="B13" s="37" t="s">
        <v>29</v>
      </c>
      <c r="C13" s="122">
        <f t="shared" ref="C13:F13" si="1">SUM(C5:C12)</f>
        <v>5</v>
      </c>
      <c r="D13" s="39">
        <f t="shared" si="1"/>
        <v>0</v>
      </c>
      <c r="E13" s="41">
        <f t="shared" si="1"/>
        <v>2</v>
      </c>
      <c r="F13" s="39">
        <f t="shared" si="1"/>
        <v>0</v>
      </c>
      <c r="G13" s="40">
        <f t="shared" ref="G13:N13" si="2">SUM(G5:G12)</f>
        <v>1</v>
      </c>
      <c r="H13" s="39">
        <f t="shared" si="2"/>
        <v>0</v>
      </c>
      <c r="I13" s="40">
        <f t="shared" si="2"/>
        <v>0</v>
      </c>
      <c r="J13" s="39">
        <f t="shared" si="2"/>
        <v>1</v>
      </c>
      <c r="K13" s="40">
        <f t="shared" si="2"/>
        <v>1</v>
      </c>
      <c r="L13" s="380">
        <f t="shared" si="2"/>
        <v>0</v>
      </c>
      <c r="M13" s="400">
        <f t="shared" si="2"/>
        <v>0</v>
      </c>
      <c r="N13" s="234">
        <f t="shared" si="2"/>
        <v>10</v>
      </c>
    </row>
    <row r="14" spans="1:15" ht="15.75" thickBot="1" x14ac:dyDescent="0.3"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551" t="s">
        <v>52</v>
      </c>
      <c r="B15" s="552"/>
      <c r="C15" s="72">
        <f>C13/N13</f>
        <v>0.5</v>
      </c>
      <c r="D15" s="71">
        <f>D13/N13</f>
        <v>0</v>
      </c>
      <c r="E15" s="70">
        <f>E13/N13</f>
        <v>0.2</v>
      </c>
      <c r="F15" s="47">
        <f>F13/N13</f>
        <v>0</v>
      </c>
      <c r="G15" s="48">
        <f>G13/N13</f>
        <v>0.1</v>
      </c>
      <c r="H15" s="56">
        <f>H13/N13</f>
        <v>0</v>
      </c>
      <c r="I15" s="48">
        <f>I13/N13</f>
        <v>0</v>
      </c>
      <c r="J15" s="56">
        <f>J13/N13</f>
        <v>0.1</v>
      </c>
      <c r="K15" s="48">
        <f>K13/N13</f>
        <v>0.1</v>
      </c>
      <c r="L15" s="56">
        <f>L13/N13</f>
        <v>0</v>
      </c>
      <c r="M15" s="342">
        <f>M13/N13</f>
        <v>0</v>
      </c>
      <c r="N15" s="251">
        <f>SUM(C15:M15)</f>
        <v>0.99999999999999989</v>
      </c>
    </row>
    <row r="16" spans="1:1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4" ht="15.75" thickBot="1" x14ac:dyDescent="0.3">
      <c r="B17" s="26"/>
      <c r="C17" s="457" t="s">
        <v>115</v>
      </c>
      <c r="D17" s="458"/>
      <c r="E17" s="458"/>
      <c r="F17" s="458"/>
      <c r="G17" s="458"/>
      <c r="H17" s="458"/>
      <c r="I17" s="458"/>
      <c r="J17" s="459"/>
      <c r="K17" s="459"/>
      <c r="L17" s="26"/>
      <c r="M17" s="26"/>
      <c r="N17" s="155" t="s">
        <v>35</v>
      </c>
    </row>
    <row r="18" spans="1:14" ht="15.75" thickBot="1" x14ac:dyDescent="0.3">
      <c r="A18" s="460" t="s">
        <v>0</v>
      </c>
      <c r="B18" s="462" t="s">
        <v>1</v>
      </c>
      <c r="C18" s="495" t="s">
        <v>2</v>
      </c>
      <c r="D18" s="496"/>
      <c r="E18" s="496"/>
      <c r="F18" s="496"/>
      <c r="G18" s="496"/>
      <c r="H18" s="496"/>
      <c r="I18" s="496"/>
      <c r="J18" s="496"/>
      <c r="K18" s="496"/>
      <c r="L18" s="496"/>
      <c r="M18" s="497"/>
      <c r="N18" s="507" t="s">
        <v>3</v>
      </c>
    </row>
    <row r="19" spans="1:14" x14ac:dyDescent="0.25">
      <c r="A19" s="499"/>
      <c r="B19" s="501"/>
      <c r="C19" s="526" t="s">
        <v>68</v>
      </c>
      <c r="D19" s="501" t="s">
        <v>4</v>
      </c>
      <c r="E19" s="521" t="s">
        <v>5</v>
      </c>
      <c r="F19" s="462" t="s">
        <v>6</v>
      </c>
      <c r="G19" s="503" t="s">
        <v>8</v>
      </c>
      <c r="H19" s="462" t="s">
        <v>93</v>
      </c>
      <c r="I19" s="503" t="s">
        <v>96</v>
      </c>
      <c r="J19" s="505" t="s">
        <v>9</v>
      </c>
      <c r="K19" s="503" t="s">
        <v>92</v>
      </c>
      <c r="L19" s="462" t="s">
        <v>10</v>
      </c>
      <c r="M19" s="538" t="s">
        <v>95</v>
      </c>
      <c r="N19" s="549"/>
    </row>
    <row r="20" spans="1:14" ht="15.75" thickBot="1" x14ac:dyDescent="0.3">
      <c r="A20" s="500"/>
      <c r="B20" s="502"/>
      <c r="C20" s="528"/>
      <c r="D20" s="500"/>
      <c r="E20" s="500"/>
      <c r="F20" s="500"/>
      <c r="G20" s="504"/>
      <c r="H20" s="463"/>
      <c r="I20" s="504"/>
      <c r="J20" s="506"/>
      <c r="K20" s="504"/>
      <c r="L20" s="463"/>
      <c r="M20" s="539"/>
      <c r="N20" s="550"/>
    </row>
    <row r="21" spans="1:14" x14ac:dyDescent="0.25">
      <c r="A21" s="30">
        <v>1</v>
      </c>
      <c r="B21" s="31" t="s">
        <v>38</v>
      </c>
      <c r="C21" s="62">
        <f>[1]STA_SP2_NO!$K$34</f>
        <v>2271.37</v>
      </c>
      <c r="D21" s="118">
        <f>[2]STA_SP2_NO!$K$34</f>
        <v>0</v>
      </c>
      <c r="E21" s="61">
        <f>[3]STA_SP2_NO!$K$34</f>
        <v>4799</v>
      </c>
      <c r="F21" s="118">
        <f>[4]STA_SP2_NO!$K$34</f>
        <v>0</v>
      </c>
      <c r="G21" s="143">
        <f>[5]STA_SP2_NO!$K$34</f>
        <v>378</v>
      </c>
      <c r="H21" s="118">
        <f>[6]STA_SP2_NO!$K$34</f>
        <v>0</v>
      </c>
      <c r="I21" s="143">
        <f>[7]STA_SP2_NO!$K$34</f>
        <v>0</v>
      </c>
      <c r="J21" s="118">
        <f>[8]STA_SP2_NO!$K$34</f>
        <v>121</v>
      </c>
      <c r="K21" s="143">
        <f>[9]STA_SP2_NO!$K$34</f>
        <v>90</v>
      </c>
      <c r="L21" s="387">
        <f>[10]STA_SP2_NO!$K$34</f>
        <v>0</v>
      </c>
      <c r="M21" s="394">
        <f>[11]STA_SP2_NO!$K$34</f>
        <v>0</v>
      </c>
      <c r="N21" s="397">
        <f t="shared" ref="N21:N28" si="3">SUM(C21:M21)</f>
        <v>7659.37</v>
      </c>
    </row>
    <row r="22" spans="1:14" x14ac:dyDescent="0.25">
      <c r="A22" s="32">
        <v>2</v>
      </c>
      <c r="B22" s="33" t="s">
        <v>39</v>
      </c>
      <c r="C22" s="62">
        <f>[1]STA_SP2_NO!$K$35</f>
        <v>0</v>
      </c>
      <c r="D22" s="118">
        <f>[2]STA_SP2_NO!$K$35</f>
        <v>0</v>
      </c>
      <c r="E22" s="61">
        <f>[3]STA_SP2_NO!$K$35</f>
        <v>119</v>
      </c>
      <c r="F22" s="118">
        <f>[4]STA_SP2_NO!$K$35</f>
        <v>0</v>
      </c>
      <c r="G22" s="143">
        <f>[5]STA_SP2_NO!$K$35</f>
        <v>0</v>
      </c>
      <c r="H22" s="118">
        <f>[6]STA_SP2_NO!$K$35</f>
        <v>0</v>
      </c>
      <c r="I22" s="143">
        <f>[7]STA_SP2_NO!$K$35</f>
        <v>0</v>
      </c>
      <c r="J22" s="118">
        <f>[8]STA_SP2_NO!$K$35</f>
        <v>0</v>
      </c>
      <c r="K22" s="143">
        <f>[9]STA_SP2_NO!$K$35</f>
        <v>0</v>
      </c>
      <c r="L22" s="387">
        <f>[10]STA_SP2_NO!$K$35</f>
        <v>0</v>
      </c>
      <c r="M22" s="394">
        <f>[11]STA_SP2_NO!$K$35</f>
        <v>0</v>
      </c>
      <c r="N22" s="397">
        <f t="shared" si="3"/>
        <v>119</v>
      </c>
    </row>
    <row r="23" spans="1:14" x14ac:dyDescent="0.25">
      <c r="A23" s="32">
        <v>3</v>
      </c>
      <c r="B23" s="33" t="s">
        <v>40</v>
      </c>
      <c r="C23" s="62">
        <f>[1]STA_SP2_NO!$K$36</f>
        <v>0</v>
      </c>
      <c r="D23" s="118">
        <f>[2]STA_SP2_NO!$K$36</f>
        <v>0</v>
      </c>
      <c r="E23" s="61">
        <f>[3]STA_SP2_NO!$K$36</f>
        <v>0</v>
      </c>
      <c r="F23" s="118">
        <f>[4]STA_SP2_NO!$K$36</f>
        <v>0</v>
      </c>
      <c r="G23" s="143">
        <f>[5]STA_SP2_NO!$K$36</f>
        <v>0</v>
      </c>
      <c r="H23" s="118">
        <f>[6]STA_SP2_NO!$K$36</f>
        <v>0</v>
      </c>
      <c r="I23" s="143">
        <f>[7]STA_SP2_NO!$K$36</f>
        <v>0</v>
      </c>
      <c r="J23" s="118">
        <f>[8]STA_SP2_NO!$K$36</f>
        <v>0</v>
      </c>
      <c r="K23" s="143">
        <f>[9]STA_SP2_NO!$K$36</f>
        <v>0</v>
      </c>
      <c r="L23" s="387">
        <f>[10]STA_SP2_NO!$K$36</f>
        <v>0</v>
      </c>
      <c r="M23" s="394">
        <f>[11]STA_SP2_NO!$K$36</f>
        <v>0</v>
      </c>
      <c r="N23" s="397">
        <f t="shared" si="3"/>
        <v>0</v>
      </c>
    </row>
    <row r="24" spans="1:14" x14ac:dyDescent="0.25">
      <c r="A24" s="32">
        <v>4</v>
      </c>
      <c r="B24" s="33" t="s">
        <v>41</v>
      </c>
      <c r="C24" s="62">
        <f>[1]STA_SP2_NO!$K$37</f>
        <v>0</v>
      </c>
      <c r="D24" s="118">
        <f>[2]STA_SP2_NO!$K$37</f>
        <v>0</v>
      </c>
      <c r="E24" s="61">
        <f>[3]STA_SP2_NO!$K$37</f>
        <v>0</v>
      </c>
      <c r="F24" s="118">
        <f>[4]STA_SP2_NO!$K$37</f>
        <v>0</v>
      </c>
      <c r="G24" s="143">
        <f>[5]STA_SP2_NO!$K$37</f>
        <v>0</v>
      </c>
      <c r="H24" s="118">
        <f>[6]STA_SP2_NO!$K$37</f>
        <v>0</v>
      </c>
      <c r="I24" s="143">
        <f>[7]STA_SP2_NO!$K$37</f>
        <v>0</v>
      </c>
      <c r="J24" s="118">
        <f>[8]STA_SP2_NO!$K$37</f>
        <v>0</v>
      </c>
      <c r="K24" s="143">
        <f>[9]STA_SP2_NO!$K$37</f>
        <v>0</v>
      </c>
      <c r="L24" s="387">
        <f>[10]STA_SP2_NO!$K$37</f>
        <v>0</v>
      </c>
      <c r="M24" s="394">
        <f>[11]STA_SP2_NO!$K$37</f>
        <v>0</v>
      </c>
      <c r="N24" s="397">
        <f t="shared" si="3"/>
        <v>0</v>
      </c>
    </row>
    <row r="25" spans="1:14" x14ac:dyDescent="0.25">
      <c r="A25" s="32">
        <v>5</v>
      </c>
      <c r="B25" s="33" t="s">
        <v>42</v>
      </c>
      <c r="C25" s="62">
        <f>[1]STA_SP2_NO!$K$38</f>
        <v>0</v>
      </c>
      <c r="D25" s="118">
        <f>[2]STA_SP2_NO!$K$38</f>
        <v>0</v>
      </c>
      <c r="E25" s="61">
        <f>[3]STA_SP2_NO!$K$38</f>
        <v>0</v>
      </c>
      <c r="F25" s="118">
        <f>[4]STA_SP2_NO!$K$38</f>
        <v>0</v>
      </c>
      <c r="G25" s="143">
        <f>[5]STA_SP2_NO!$K$38</f>
        <v>0</v>
      </c>
      <c r="H25" s="118">
        <f>[6]STA_SP2_NO!$K$38</f>
        <v>0</v>
      </c>
      <c r="I25" s="143">
        <f>[7]STA_SP2_NO!$K$38</f>
        <v>0</v>
      </c>
      <c r="J25" s="118">
        <f>[8]STA_SP2_NO!$K$38</f>
        <v>0</v>
      </c>
      <c r="K25" s="143">
        <f>[9]STA_SP2_NO!$K$38</f>
        <v>0</v>
      </c>
      <c r="L25" s="387">
        <f>[10]STA_SP2_NO!$K$38</f>
        <v>0</v>
      </c>
      <c r="M25" s="394">
        <f>[11]STA_SP2_NO!$K$38</f>
        <v>0</v>
      </c>
      <c r="N25" s="397">
        <f t="shared" si="3"/>
        <v>0</v>
      </c>
    </row>
    <row r="26" spans="1:14" x14ac:dyDescent="0.25">
      <c r="A26" s="32">
        <v>6</v>
      </c>
      <c r="B26" s="33" t="s">
        <v>43</v>
      </c>
      <c r="C26" s="62">
        <f>[1]STA_SP2_NO!$K$39</f>
        <v>0</v>
      </c>
      <c r="D26" s="118">
        <f>[2]STA_SP2_NO!$K$39</f>
        <v>0</v>
      </c>
      <c r="E26" s="61">
        <f>[3]STA_SP2_NO!$K$39</f>
        <v>0</v>
      </c>
      <c r="F26" s="118">
        <f>[4]STA_SP2_NO!$K$39</f>
        <v>0</v>
      </c>
      <c r="G26" s="143">
        <f>[5]STA_SP2_NO!$K$39</f>
        <v>0</v>
      </c>
      <c r="H26" s="118">
        <f>[6]STA_SP2_NO!$K$39</f>
        <v>0</v>
      </c>
      <c r="I26" s="143">
        <f>[7]STA_SP2_NO!$K$39</f>
        <v>0</v>
      </c>
      <c r="J26" s="118">
        <f>[8]STA_SP2_NO!$K$39</f>
        <v>0</v>
      </c>
      <c r="K26" s="143">
        <f>[9]STA_SP2_NO!$K$39</f>
        <v>0</v>
      </c>
      <c r="L26" s="387">
        <f>[10]STA_SP2_NO!$K$39</f>
        <v>0</v>
      </c>
      <c r="M26" s="394">
        <f>[11]STA_SP2_NO!$K$39</f>
        <v>0</v>
      </c>
      <c r="N26" s="397">
        <f t="shared" si="3"/>
        <v>0</v>
      </c>
    </row>
    <row r="27" spans="1:14" x14ac:dyDescent="0.25">
      <c r="A27" s="32">
        <v>7</v>
      </c>
      <c r="B27" s="33" t="s">
        <v>44</v>
      </c>
      <c r="C27" s="62">
        <f>[1]STA_SP2_NO!$K$40</f>
        <v>0</v>
      </c>
      <c r="D27" s="118">
        <f>[2]STA_SP2_NO!$K$40</f>
        <v>0</v>
      </c>
      <c r="E27" s="61">
        <f>[3]STA_SP2_NO!$K$40</f>
        <v>0</v>
      </c>
      <c r="F27" s="118">
        <f>[4]STA_SP2_NO!$K$40</f>
        <v>0</v>
      </c>
      <c r="G27" s="143">
        <f>[5]STA_SP2_NO!$K$40</f>
        <v>0</v>
      </c>
      <c r="H27" s="118">
        <f>[6]STA_SP2_NO!$K$40</f>
        <v>0</v>
      </c>
      <c r="I27" s="143">
        <f>[7]STA_SP2_NO!$K$40</f>
        <v>0</v>
      </c>
      <c r="J27" s="118">
        <f>[8]STA_SP2_NO!$K$40</f>
        <v>0</v>
      </c>
      <c r="K27" s="143">
        <f>[9]STA_SP2_NO!$K$40</f>
        <v>0</v>
      </c>
      <c r="L27" s="387">
        <f>[10]STA_SP2_NO!$K$40</f>
        <v>0</v>
      </c>
      <c r="M27" s="394">
        <f>[11]STA_SP2_NO!$K$40</f>
        <v>0</v>
      </c>
      <c r="N27" s="397">
        <f t="shared" si="3"/>
        <v>0</v>
      </c>
    </row>
    <row r="28" spans="1:14" ht="15.75" thickBot="1" x14ac:dyDescent="0.3">
      <c r="A28" s="34">
        <v>8</v>
      </c>
      <c r="B28" s="35" t="s">
        <v>45</v>
      </c>
      <c r="C28" s="62">
        <f>[1]STA_SP2_NO!$K$41</f>
        <v>0</v>
      </c>
      <c r="D28" s="118">
        <f>[2]STA_SP2_NO!$K$41</f>
        <v>0</v>
      </c>
      <c r="E28" s="61">
        <f>[3]STA_SP2_NO!$K$41</f>
        <v>0</v>
      </c>
      <c r="F28" s="118">
        <f>[4]STA_SP2_NO!$K$41</f>
        <v>0</v>
      </c>
      <c r="G28" s="143">
        <f>[5]STA_SP2_NO!$K$41</f>
        <v>0</v>
      </c>
      <c r="H28" s="118">
        <f>[6]STA_SP2_NO!$K$41</f>
        <v>0</v>
      </c>
      <c r="I28" s="143">
        <f>[7]STA_SP2_NO!$K$41</f>
        <v>0</v>
      </c>
      <c r="J28" s="118">
        <f>[8]STA_SP2_NO!$K$41</f>
        <v>0</v>
      </c>
      <c r="K28" s="143">
        <f>[9]STA_SP2_NO!$K$41</f>
        <v>0</v>
      </c>
      <c r="L28" s="387">
        <f>[10]STA_SP2_NO!$K$41</f>
        <v>0</v>
      </c>
      <c r="M28" s="394">
        <f>[11]STA_SP2_NO!$K$41</f>
        <v>0</v>
      </c>
      <c r="N28" s="397">
        <f t="shared" si="3"/>
        <v>0</v>
      </c>
    </row>
    <row r="29" spans="1:14" ht="15.75" thickBot="1" x14ac:dyDescent="0.3">
      <c r="A29" s="36"/>
      <c r="B29" s="37" t="s">
        <v>36</v>
      </c>
      <c r="C29" s="73">
        <f t="shared" ref="C29:F29" si="4">SUM(C21:C28)</f>
        <v>2271.37</v>
      </c>
      <c r="D29" s="39">
        <f t="shared" si="4"/>
        <v>0</v>
      </c>
      <c r="E29" s="73">
        <f t="shared" si="4"/>
        <v>4918</v>
      </c>
      <c r="F29" s="39">
        <f t="shared" si="4"/>
        <v>0</v>
      </c>
      <c r="G29" s="392">
        <f t="shared" ref="G29:N29" si="5">SUM(G21:G28)</f>
        <v>378</v>
      </c>
      <c r="H29" s="51">
        <f t="shared" si="5"/>
        <v>0</v>
      </c>
      <c r="I29" s="41">
        <f t="shared" si="5"/>
        <v>0</v>
      </c>
      <c r="J29" s="51">
        <f t="shared" si="5"/>
        <v>121</v>
      </c>
      <c r="K29" s="41">
        <f t="shared" si="5"/>
        <v>90</v>
      </c>
      <c r="L29" s="338">
        <f t="shared" si="5"/>
        <v>0</v>
      </c>
      <c r="M29" s="400">
        <f t="shared" si="5"/>
        <v>0</v>
      </c>
      <c r="N29" s="234">
        <f t="shared" si="5"/>
        <v>7778.37</v>
      </c>
    </row>
    <row r="30" spans="1:14" ht="15.75" thickBot="1" x14ac:dyDescent="0.3">
      <c r="B30" s="1"/>
      <c r="C30" s="1"/>
      <c r="D30" s="1"/>
      <c r="E30" s="1"/>
      <c r="F30" s="1"/>
      <c r="G30" s="341"/>
      <c r="H30" s="1"/>
      <c r="I30" s="341"/>
      <c r="J30" s="1"/>
      <c r="K30" s="341"/>
      <c r="L30" s="1"/>
      <c r="M30" s="348"/>
      <c r="N30" s="1"/>
    </row>
    <row r="31" spans="1:14" ht="15.75" thickBot="1" x14ac:dyDescent="0.3">
      <c r="A31" s="551" t="s">
        <v>52</v>
      </c>
      <c r="B31" s="552"/>
      <c r="C31" s="70">
        <f>C29/N29</f>
        <v>0.29201105115853321</v>
      </c>
      <c r="D31" s="71">
        <f>D29/N29</f>
        <v>0</v>
      </c>
      <c r="E31" s="70">
        <f>E29/N29</f>
        <v>0.63226614316367058</v>
      </c>
      <c r="F31" s="71">
        <f>F29/N29</f>
        <v>0</v>
      </c>
      <c r="G31" s="55">
        <f>G29/N29</f>
        <v>4.8596299738891312E-2</v>
      </c>
      <c r="H31" s="56">
        <f>H29/N29</f>
        <v>0</v>
      </c>
      <c r="I31" s="55">
        <f>I29/N29</f>
        <v>0</v>
      </c>
      <c r="J31" s="56">
        <f>J29/N29</f>
        <v>1.5555958382026055E-2</v>
      </c>
      <c r="K31" s="55">
        <f>K29/N29</f>
        <v>1.1570547556878884E-2</v>
      </c>
      <c r="L31" s="56">
        <f>L29/N29</f>
        <v>0</v>
      </c>
      <c r="M31" s="342">
        <f>M29/N29</f>
        <v>0</v>
      </c>
      <c r="N31" s="261">
        <f>SUM(C31:M31)</f>
        <v>1</v>
      </c>
    </row>
  </sheetData>
  <mergeCells count="34">
    <mergeCell ref="C1:K1"/>
    <mergeCell ref="B2:B4"/>
    <mergeCell ref="N2: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18:N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C18:M18"/>
    <mergeCell ref="A31:B31"/>
    <mergeCell ref="C17:K17"/>
    <mergeCell ref="A18:A20"/>
    <mergeCell ref="B18:B20"/>
    <mergeCell ref="A2:A4"/>
    <mergeCell ref="A15:B15"/>
    <mergeCell ref="C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C4" sqref="C4:L4"/>
    </sheetView>
  </sheetViews>
  <sheetFormatPr defaultRowHeight="15" x14ac:dyDescent="0.25"/>
  <cols>
    <col min="1" max="1" width="4.42578125" customWidth="1"/>
    <col min="2" max="2" width="27.85546875" customWidth="1"/>
    <col min="3" max="3" width="9.140625" customWidth="1"/>
    <col min="4" max="4" width="9.85546875" bestFit="1" customWidth="1"/>
    <col min="8" max="8" width="9.85546875" bestFit="1" customWidth="1"/>
  </cols>
  <sheetData>
    <row r="1" spans="1:14" ht="33.75" customHeight="1" thickBot="1" x14ac:dyDescent="0.3">
      <c r="A1" s="26"/>
      <c r="B1" s="26"/>
      <c r="C1" s="457" t="s">
        <v>116</v>
      </c>
      <c r="D1" s="458"/>
      <c r="E1" s="458"/>
      <c r="F1" s="458"/>
      <c r="G1" s="458"/>
      <c r="H1" s="458"/>
      <c r="I1" s="458"/>
      <c r="J1" s="26"/>
      <c r="K1" s="26"/>
      <c r="L1" s="26"/>
      <c r="M1" s="26"/>
      <c r="N1" s="157" t="s">
        <v>35</v>
      </c>
    </row>
    <row r="2" spans="1:14" ht="15.75" thickBot="1" x14ac:dyDescent="0.3">
      <c r="A2" s="460" t="s">
        <v>0</v>
      </c>
      <c r="B2" s="462" t="s">
        <v>1</v>
      </c>
      <c r="C2" s="492" t="s">
        <v>2</v>
      </c>
      <c r="D2" s="493"/>
      <c r="E2" s="493"/>
      <c r="F2" s="493"/>
      <c r="G2" s="493"/>
      <c r="H2" s="493"/>
      <c r="I2" s="493"/>
      <c r="J2" s="493"/>
      <c r="K2" s="493"/>
      <c r="L2" s="493"/>
      <c r="M2" s="555"/>
      <c r="N2" s="464" t="s">
        <v>3</v>
      </c>
    </row>
    <row r="3" spans="1:14" ht="15.75" thickBot="1" x14ac:dyDescent="0.3">
      <c r="A3" s="461"/>
      <c r="B3" s="491"/>
      <c r="C3" s="354" t="s">
        <v>68</v>
      </c>
      <c r="D3" s="344" t="s">
        <v>4</v>
      </c>
      <c r="E3" s="355" t="s">
        <v>5</v>
      </c>
      <c r="F3" s="344" t="s">
        <v>6</v>
      </c>
      <c r="G3" s="357" t="s">
        <v>8</v>
      </c>
      <c r="H3" s="356" t="s">
        <v>93</v>
      </c>
      <c r="I3" s="357" t="s">
        <v>96</v>
      </c>
      <c r="J3" s="372" t="s">
        <v>9</v>
      </c>
      <c r="K3" s="357" t="s">
        <v>92</v>
      </c>
      <c r="L3" s="407" t="s">
        <v>10</v>
      </c>
      <c r="M3" s="357" t="s">
        <v>95</v>
      </c>
      <c r="N3" s="553"/>
    </row>
    <row r="4" spans="1:14" x14ac:dyDescent="0.25">
      <c r="A4" s="30">
        <v>1</v>
      </c>
      <c r="B4" s="351" t="s">
        <v>11</v>
      </c>
      <c r="C4" s="370">
        <f>[1]STA_SP4_NO!$P$10</f>
        <v>59075.49</v>
      </c>
      <c r="D4" s="402">
        <f>[2]STA_SP4_NO!$P$10</f>
        <v>73534.14</v>
      </c>
      <c r="E4" s="370">
        <f>[3]STA_SP4_NO!$P$10</f>
        <v>11199</v>
      </c>
      <c r="F4" s="54">
        <f>[4]STA_SP4_NO!$P$10</f>
        <v>36978.480000000003</v>
      </c>
      <c r="G4" s="62">
        <f>[5]STA_SP4_NO!$P$10</f>
        <v>52132.59</v>
      </c>
      <c r="H4" s="54">
        <f>[6]STA_SP4_NO!$P$10</f>
        <v>17897</v>
      </c>
      <c r="I4" s="62">
        <f>[7]STA_SP4_NO!$P$10</f>
        <v>26407</v>
      </c>
      <c r="J4" s="54">
        <f>[8]STA_SP4_NO!$P$10</f>
        <v>17334</v>
      </c>
      <c r="K4" s="62">
        <f>[9]STA_SP4_NO!$P$10</f>
        <v>30800.18</v>
      </c>
      <c r="L4" s="54">
        <f>[10]STA_SP4_NO!$P$10</f>
        <v>53121</v>
      </c>
      <c r="M4" s="405">
        <f>[11]STA_SP4_NO!$P$10</f>
        <v>0</v>
      </c>
      <c r="N4" s="403">
        <f t="shared" ref="N4:N22" si="0">SUM(C4:M4)</f>
        <v>378478.88</v>
      </c>
    </row>
    <row r="5" spans="1:14" x14ac:dyDescent="0.25">
      <c r="A5" s="32">
        <v>2</v>
      </c>
      <c r="B5" s="352" t="s">
        <v>12</v>
      </c>
      <c r="C5" s="370">
        <f>[1]STA_SP4_NO!$P$11</f>
        <v>115064.89</v>
      </c>
      <c r="D5" s="402">
        <f>[2]STA_SP4_NO!$P$11</f>
        <v>130652.94</v>
      </c>
      <c r="E5" s="370">
        <f>[3]STA_SP4_NO!$P$11</f>
        <v>16552</v>
      </c>
      <c r="F5" s="54">
        <f>[4]STA_SP4_NO!$P$11</f>
        <v>70387.06</v>
      </c>
      <c r="G5" s="62">
        <f>[5]STA_SP4_NO!$P$11</f>
        <v>118710.07</v>
      </c>
      <c r="H5" s="54">
        <f>[6]STA_SP4_NO!$P$11</f>
        <v>0</v>
      </c>
      <c r="I5" s="62">
        <f>[7]STA_SP4_NO!$P$11</f>
        <v>59060</v>
      </c>
      <c r="J5" s="54">
        <f>[8]STA_SP4_NO!$P$11</f>
        <v>0</v>
      </c>
      <c r="K5" s="62">
        <f>[9]STA_SP4_NO!$P$11</f>
        <v>77720.600000000006</v>
      </c>
      <c r="L5" s="54">
        <f>[10]STA_SP4_NO!$P$11</f>
        <v>147686</v>
      </c>
      <c r="M5" s="408">
        <f>[11]STA_SP4_NO!$P$11</f>
        <v>0</v>
      </c>
      <c r="N5" s="403">
        <f t="shared" si="0"/>
        <v>735833.56</v>
      </c>
    </row>
    <row r="6" spans="1:14" x14ac:dyDescent="0.25">
      <c r="A6" s="32">
        <v>3</v>
      </c>
      <c r="B6" s="352" t="s">
        <v>13</v>
      </c>
      <c r="C6" s="370">
        <f>[1]STA_SP4_NO!$P$12</f>
        <v>68176.399999999994</v>
      </c>
      <c r="D6" s="402">
        <f>[2]STA_SP4_NO!$P$12</f>
        <v>69386.210000000006</v>
      </c>
      <c r="E6" s="370">
        <f>[3]STA_SP4_NO!$P$12</f>
        <v>34788</v>
      </c>
      <c r="F6" s="54">
        <f>[4]STA_SP4_NO!$P$12</f>
        <v>116711.9</v>
      </c>
      <c r="G6" s="62">
        <f>[5]STA_SP4_NO!$P$12</f>
        <v>72192.42</v>
      </c>
      <c r="H6" s="54">
        <f>[6]STA_SP4_NO!$P$12</f>
        <v>10335</v>
      </c>
      <c r="I6" s="62">
        <f>[7]STA_SP4_NO!$P$12</f>
        <v>49020</v>
      </c>
      <c r="J6" s="54">
        <f>[8]STA_SP4_NO!$P$12</f>
        <v>48321</v>
      </c>
      <c r="K6" s="62">
        <f>[9]STA_SP4_NO!$P$12</f>
        <v>58267.1</v>
      </c>
      <c r="L6" s="54">
        <f>[10]STA_SP4_NO!$P$12</f>
        <v>64075</v>
      </c>
      <c r="M6" s="405">
        <f>[11]STA_SP4_NO!$P$12</f>
        <v>0</v>
      </c>
      <c r="N6" s="403">
        <f t="shared" si="0"/>
        <v>591273.03</v>
      </c>
    </row>
    <row r="7" spans="1:14" x14ac:dyDescent="0.25">
      <c r="A7" s="32">
        <v>4</v>
      </c>
      <c r="B7" s="352" t="s">
        <v>14</v>
      </c>
      <c r="C7" s="370">
        <f>[1]STA_SP4_NO!$P$13</f>
        <v>0</v>
      </c>
      <c r="D7" s="402">
        <f>[2]STA_SP4_NO!$P$13</f>
        <v>0</v>
      </c>
      <c r="E7" s="370">
        <f>[3]STA_SP4_NO!$P$13</f>
        <v>0</v>
      </c>
      <c r="F7" s="54">
        <f>[4]STA_SP4_NO!$P$13</f>
        <v>0</v>
      </c>
      <c r="G7" s="62">
        <f>[5]STA_SP4_NO!$P$13</f>
        <v>0</v>
      </c>
      <c r="H7" s="54">
        <f>[6]STA_SP4_NO!$P$13</f>
        <v>0</v>
      </c>
      <c r="I7" s="62">
        <f>[7]STA_SP4_NO!$P$13</f>
        <v>0</v>
      </c>
      <c r="J7" s="54">
        <f>[8]STA_SP4_NO!$P$13</f>
        <v>0</v>
      </c>
      <c r="K7" s="62">
        <f>[9]STA_SP4_NO!$P$13</f>
        <v>0</v>
      </c>
      <c r="L7" s="54">
        <f>[10]STA_SP4_NO!$P$13</f>
        <v>0</v>
      </c>
      <c r="M7" s="409">
        <f>[11]STA_SP4_NO!$P$13</f>
        <v>0</v>
      </c>
      <c r="N7" s="403">
        <f t="shared" si="0"/>
        <v>0</v>
      </c>
    </row>
    <row r="8" spans="1:14" x14ac:dyDescent="0.25">
      <c r="A8" s="32">
        <v>5</v>
      </c>
      <c r="B8" s="352" t="s">
        <v>15</v>
      </c>
      <c r="C8" s="370">
        <f>[1]STA_SP4_NO!$P$14</f>
        <v>0</v>
      </c>
      <c r="D8" s="402">
        <f>[2]STA_SP4_NO!$P$14</f>
        <v>0</v>
      </c>
      <c r="E8" s="370">
        <f>[3]STA_SP4_NO!$P$14</f>
        <v>0</v>
      </c>
      <c r="F8" s="54">
        <f>[4]STA_SP4_NO!$P$14</f>
        <v>0</v>
      </c>
      <c r="G8" s="62">
        <f>[5]STA_SP4_NO!$P$14</f>
        <v>11605.77</v>
      </c>
      <c r="H8" s="54">
        <f>[6]STA_SP4_NO!$P$14</f>
        <v>0</v>
      </c>
      <c r="I8" s="62">
        <f>[7]STA_SP4_NO!$P$14</f>
        <v>0</v>
      </c>
      <c r="J8" s="54">
        <f>[8]STA_SP4_NO!$P$14</f>
        <v>1042</v>
      </c>
      <c r="K8" s="62">
        <f>[9]STA_SP4_NO!$P$14</f>
        <v>0</v>
      </c>
      <c r="L8" s="54">
        <f>[10]STA_SP4_NO!$P$14</f>
        <v>701</v>
      </c>
      <c r="M8" s="409">
        <f>[11]STA_SP4_NO!$P$14</f>
        <v>0</v>
      </c>
      <c r="N8" s="403">
        <f t="shared" si="0"/>
        <v>13348.77</v>
      </c>
    </row>
    <row r="9" spans="1:14" x14ac:dyDescent="0.25">
      <c r="A9" s="32">
        <v>6</v>
      </c>
      <c r="B9" s="352" t="s">
        <v>16</v>
      </c>
      <c r="C9" s="370">
        <f>[1]STA_SP4_NO!$P$15</f>
        <v>146.66999999999999</v>
      </c>
      <c r="D9" s="402">
        <f>[2]STA_SP4_NO!$P$15</f>
        <v>34.24</v>
      </c>
      <c r="E9" s="370">
        <f>[3]STA_SP4_NO!$P$15</f>
        <v>92</v>
      </c>
      <c r="F9" s="54">
        <f>[4]STA_SP4_NO!$P$15</f>
        <v>1193.8800000000001</v>
      </c>
      <c r="G9" s="62">
        <f>[5]STA_SP4_NO!$P$15</f>
        <v>0</v>
      </c>
      <c r="H9" s="54">
        <f>[6]STA_SP4_NO!$P$15</f>
        <v>0</v>
      </c>
      <c r="I9" s="62">
        <f>[7]STA_SP4_NO!$P$15</f>
        <v>27</v>
      </c>
      <c r="J9" s="54">
        <f>[8]STA_SP4_NO!$P$15</f>
        <v>134</v>
      </c>
      <c r="K9" s="62">
        <f>[9]STA_SP4_NO!$P$15</f>
        <v>130.47999999999999</v>
      </c>
      <c r="L9" s="54">
        <f>[10]STA_SP4_NO!$P$15</f>
        <v>40</v>
      </c>
      <c r="M9" s="409">
        <f>[11]STA_SP4_NO!$P$15</f>
        <v>0</v>
      </c>
      <c r="N9" s="403">
        <f t="shared" si="0"/>
        <v>1798.27</v>
      </c>
    </row>
    <row r="10" spans="1:14" x14ac:dyDescent="0.25">
      <c r="A10" s="32">
        <v>7</v>
      </c>
      <c r="B10" s="352" t="s">
        <v>17</v>
      </c>
      <c r="C10" s="370">
        <f>[1]STA_SP4_NO!$P$16</f>
        <v>7740.5</v>
      </c>
      <c r="D10" s="402">
        <f>[2]STA_SP4_NO!$P$16</f>
        <v>19398.349999999999</v>
      </c>
      <c r="E10" s="370">
        <f>[3]STA_SP4_NO!$P$16</f>
        <v>8357</v>
      </c>
      <c r="F10" s="54">
        <f>[4]STA_SP4_NO!$P$16</f>
        <v>2343.9899999999998</v>
      </c>
      <c r="G10" s="62">
        <f>[5]STA_SP4_NO!$P$16</f>
        <v>16336.76</v>
      </c>
      <c r="H10" s="54">
        <f>[6]STA_SP4_NO!$P$16</f>
        <v>0</v>
      </c>
      <c r="I10" s="62">
        <f>[7]STA_SP4_NO!$P$16</f>
        <v>7674</v>
      </c>
      <c r="J10" s="54">
        <f>[8]STA_SP4_NO!$P$16</f>
        <v>838</v>
      </c>
      <c r="K10" s="62">
        <f>[9]STA_SP4_NO!$P$16</f>
        <v>1393.01</v>
      </c>
      <c r="L10" s="54">
        <f>[10]STA_SP4_NO!$P$16</f>
        <v>1726</v>
      </c>
      <c r="M10" s="409">
        <f>[11]STA_SP4_NO!$P$16</f>
        <v>0</v>
      </c>
      <c r="N10" s="403">
        <f t="shared" si="0"/>
        <v>65807.61</v>
      </c>
    </row>
    <row r="11" spans="1:14" x14ac:dyDescent="0.25">
      <c r="A11" s="32">
        <v>8</v>
      </c>
      <c r="B11" s="352" t="s">
        <v>18</v>
      </c>
      <c r="C11" s="370">
        <f>[1]STA_SP4_NO!$P$17</f>
        <v>88760.61</v>
      </c>
      <c r="D11" s="402">
        <f>[2]STA_SP4_NO!$P$17</f>
        <v>38528.44</v>
      </c>
      <c r="E11" s="370">
        <f>[3]STA_SP4_NO!$P$17</f>
        <v>23021</v>
      </c>
      <c r="F11" s="54">
        <f>[4]STA_SP4_NO!$P$17</f>
        <v>49272.4</v>
      </c>
      <c r="G11" s="62">
        <f>[5]STA_SP4_NO!$P$17</f>
        <v>139898</v>
      </c>
      <c r="H11" s="54">
        <f>[6]STA_SP4_NO!$P$17</f>
        <v>1599</v>
      </c>
      <c r="I11" s="62">
        <f>[7]STA_SP4_NO!$P$17</f>
        <v>27218</v>
      </c>
      <c r="J11" s="54">
        <f>[8]STA_SP4_NO!$P$17</f>
        <v>23981</v>
      </c>
      <c r="K11" s="62">
        <f>[9]STA_SP4_NO!$P$17</f>
        <v>34693.86</v>
      </c>
      <c r="L11" s="54">
        <f>[10]STA_SP4_NO!$P$17</f>
        <v>30934</v>
      </c>
      <c r="M11" s="405">
        <f>[11]STA_SP4_NO!$P$17</f>
        <v>0</v>
      </c>
      <c r="N11" s="403">
        <f t="shared" si="0"/>
        <v>457906.30999999994</v>
      </c>
    </row>
    <row r="12" spans="1:14" x14ac:dyDescent="0.25">
      <c r="A12" s="32">
        <v>9</v>
      </c>
      <c r="B12" s="352" t="s">
        <v>19</v>
      </c>
      <c r="C12" s="370">
        <f>[1]STA_SP4_NO!$P$20</f>
        <v>154220.38</v>
      </c>
      <c r="D12" s="402">
        <f>[2]STA_SP4_NO!$P$20</f>
        <v>88402.61</v>
      </c>
      <c r="E12" s="370">
        <f>[3]STA_SP4_NO!$P$20</f>
        <v>12861</v>
      </c>
      <c r="F12" s="54">
        <f>[4]STA_SP4_NO!$P$20</f>
        <v>100382.44</v>
      </c>
      <c r="G12" s="62">
        <f>[5]STA_SP4_NO!$P$20</f>
        <v>45785</v>
      </c>
      <c r="H12" s="54">
        <f>[6]STA_SP4_NO!$P$20</f>
        <v>742</v>
      </c>
      <c r="I12" s="62">
        <f>[7]STA_SP4_NO!$P$20</f>
        <v>122177</v>
      </c>
      <c r="J12" s="54">
        <f>[8]STA_SP4_NO!$P$20</f>
        <v>11991</v>
      </c>
      <c r="K12" s="62">
        <f>[9]STA_SP4_NO!$P$20</f>
        <v>59127.03</v>
      </c>
      <c r="L12" s="54">
        <f>[10]STA_SP4_NO!$P$20</f>
        <v>50090</v>
      </c>
      <c r="M12" s="405">
        <f>[11]STA_SP4_NO!$P$20</f>
        <v>0</v>
      </c>
      <c r="N12" s="403">
        <f t="shared" si="0"/>
        <v>645778.46</v>
      </c>
    </row>
    <row r="13" spans="1:14" x14ac:dyDescent="0.25">
      <c r="A13" s="32">
        <v>10</v>
      </c>
      <c r="B13" s="352" t="s">
        <v>20</v>
      </c>
      <c r="C13" s="370">
        <f>[1]STA_SP4_NO!$P$26</f>
        <v>340446.31</v>
      </c>
      <c r="D13" s="402">
        <f>[2]STA_SP4_NO!$P$26</f>
        <v>182790.26</v>
      </c>
      <c r="E13" s="370">
        <f>[3]STA_SP4_NO!$P$26</f>
        <v>138420</v>
      </c>
      <c r="F13" s="54">
        <f>[4]STA_SP4_NO!$P$26</f>
        <v>227717.14</v>
      </c>
      <c r="G13" s="62">
        <f>[5]STA_SP4_NO!$P$26</f>
        <v>196</v>
      </c>
      <c r="H13" s="54">
        <f>[6]STA_SP4_NO!$P$26</f>
        <v>297986</v>
      </c>
      <c r="I13" s="62">
        <f>[7]STA_SP4_NO!$P$26</f>
        <v>415778</v>
      </c>
      <c r="J13" s="54">
        <f>[8]STA_SP4_NO!$P$26</f>
        <v>234327</v>
      </c>
      <c r="K13" s="62">
        <f>[9]STA_SP4_NO!$P$26</f>
        <v>152730.07</v>
      </c>
      <c r="L13" s="54">
        <f>[10]STA_SP4_NO!$P$26</f>
        <v>282697</v>
      </c>
      <c r="M13" s="405">
        <f>[11]STA_SP4_NO!$P$26</f>
        <v>99.87</v>
      </c>
      <c r="N13" s="403">
        <f t="shared" si="0"/>
        <v>2273187.6500000004</v>
      </c>
    </row>
    <row r="14" spans="1:14" x14ac:dyDescent="0.25">
      <c r="A14" s="32">
        <v>11</v>
      </c>
      <c r="B14" s="352" t="s">
        <v>21</v>
      </c>
      <c r="C14" s="370">
        <f>[1]STA_SP4_NO!$P$33</f>
        <v>25.76</v>
      </c>
      <c r="D14" s="402">
        <f>[2]STA_SP4_NO!$P$33</f>
        <v>282.56</v>
      </c>
      <c r="E14" s="370">
        <f>[3]STA_SP4_NO!$P$33</f>
        <v>0</v>
      </c>
      <c r="F14" s="54">
        <f>[4]STA_SP4_NO!$P$33</f>
        <v>0</v>
      </c>
      <c r="G14" s="62">
        <f>[5]STA_SP4_NO!$P$33</f>
        <v>1952</v>
      </c>
      <c r="H14" s="54">
        <f>[6]STA_SP4_NO!$P$33</f>
        <v>0</v>
      </c>
      <c r="I14" s="62">
        <f>[7]STA_SP4_NO!$P$33</f>
        <v>0</v>
      </c>
      <c r="J14" s="54">
        <f>[8]STA_SP4_NO!$P$33</f>
        <v>740</v>
      </c>
      <c r="K14" s="62">
        <f>[9]STA_SP4_NO!$P$33</f>
        <v>0</v>
      </c>
      <c r="L14" s="54">
        <f>[10]STA_SP4_NO!$P$33</f>
        <v>838</v>
      </c>
      <c r="M14" s="409">
        <f>[11]STA_SP4_NO!$P$33</f>
        <v>0</v>
      </c>
      <c r="N14" s="403">
        <f t="shared" si="0"/>
        <v>3838.32</v>
      </c>
    </row>
    <row r="15" spans="1:14" x14ac:dyDescent="0.25">
      <c r="A15" s="32">
        <v>12</v>
      </c>
      <c r="B15" s="352" t="s">
        <v>22</v>
      </c>
      <c r="C15" s="370">
        <f>[1]STA_SP4_NO!$P$34</f>
        <v>264.58999999999997</v>
      </c>
      <c r="D15" s="402">
        <f>[2]STA_SP4_NO!$P$34</f>
        <v>138.25</v>
      </c>
      <c r="E15" s="370">
        <f>[3]STA_SP4_NO!$P$34</f>
        <v>24</v>
      </c>
      <c r="F15" s="54">
        <f>[4]STA_SP4_NO!$P$34</f>
        <v>537.84</v>
      </c>
      <c r="G15" s="62">
        <f>[5]STA_SP4_NO!$P$34</f>
        <v>399</v>
      </c>
      <c r="H15" s="54">
        <f>[6]STA_SP4_NO!$P$34</f>
        <v>0</v>
      </c>
      <c r="I15" s="62">
        <f>[7]STA_SP4_NO!$P$34</f>
        <v>251</v>
      </c>
      <c r="J15" s="54">
        <f>[8]STA_SP4_NO!$P$34</f>
        <v>192</v>
      </c>
      <c r="K15" s="62">
        <f>[9]STA_SP4_NO!$P$34</f>
        <v>212.55</v>
      </c>
      <c r="L15" s="54">
        <f>[10]STA_SP4_NO!$P$34</f>
        <v>81</v>
      </c>
      <c r="M15" s="409">
        <f>[11]STA_SP4_NO!$P$34</f>
        <v>0</v>
      </c>
      <c r="N15" s="403">
        <f t="shared" si="0"/>
        <v>2100.23</v>
      </c>
    </row>
    <row r="16" spans="1:14" x14ac:dyDescent="0.25">
      <c r="A16" s="32">
        <v>13</v>
      </c>
      <c r="B16" s="352" t="s">
        <v>67</v>
      </c>
      <c r="C16" s="370">
        <f>[1]STA_SP4_NO!$P$35</f>
        <v>23137.03</v>
      </c>
      <c r="D16" s="402">
        <f>[2]STA_SP4_NO!$P$35</f>
        <v>26495.94</v>
      </c>
      <c r="E16" s="370">
        <f>[3]STA_SP4_NO!$P$35</f>
        <v>4254</v>
      </c>
      <c r="F16" s="54">
        <f>[4]STA_SP4_NO!$P$35</f>
        <v>10994.58</v>
      </c>
      <c r="G16" s="62">
        <f>[5]STA_SP4_NO!$P$35</f>
        <v>28457.38</v>
      </c>
      <c r="H16" s="54">
        <f>[6]STA_SP4_NO!$P$35</f>
        <v>612</v>
      </c>
      <c r="I16" s="62">
        <f>[7]STA_SP4_NO!$P$35</f>
        <v>26912</v>
      </c>
      <c r="J16" s="54">
        <f>[8]STA_SP4_NO!$P$35</f>
        <v>9838</v>
      </c>
      <c r="K16" s="62">
        <f>[9]STA_SP4_NO!$P$35</f>
        <v>15484.26</v>
      </c>
      <c r="L16" s="54">
        <f>[10]STA_SP4_NO!$P$35</f>
        <v>10389</v>
      </c>
      <c r="M16" s="405">
        <f>[11]STA_SP4_NO!$P$35</f>
        <v>0</v>
      </c>
      <c r="N16" s="403">
        <f t="shared" si="0"/>
        <v>156574.19</v>
      </c>
    </row>
    <row r="17" spans="1:14" x14ac:dyDescent="0.25">
      <c r="A17" s="32">
        <v>14</v>
      </c>
      <c r="B17" s="352" t="s">
        <v>24</v>
      </c>
      <c r="C17" s="370">
        <f>[1]STA_SP4_NO!$P$36</f>
        <v>4098.22</v>
      </c>
      <c r="D17" s="402">
        <f>[2]STA_SP4_NO!$P$36</f>
        <v>1883.45</v>
      </c>
      <c r="E17" s="370">
        <f>[3]STA_SP4_NO!$P$36</f>
        <v>20</v>
      </c>
      <c r="F17" s="54">
        <f>[4]STA_SP4_NO!$P$36</f>
        <v>5718.66</v>
      </c>
      <c r="G17" s="62">
        <f>[5]STA_SP4_NO!$P$36</f>
        <v>0</v>
      </c>
      <c r="H17" s="54">
        <f>[6]STA_SP4_NO!$P$36</f>
        <v>0</v>
      </c>
      <c r="I17" s="62">
        <f>[7]STA_SP4_NO!$P$36</f>
        <v>0</v>
      </c>
      <c r="J17" s="54">
        <f>[8]STA_SP4_NO!$P$36</f>
        <v>0</v>
      </c>
      <c r="K17" s="62">
        <f>[9]STA_SP4_NO!$P$36</f>
        <v>46624.52</v>
      </c>
      <c r="L17" s="54">
        <f>[10]STA_SP4_NO!$P$36</f>
        <v>4081</v>
      </c>
      <c r="M17" s="409">
        <f>[11]STA_SP4_NO!$P$36</f>
        <v>0</v>
      </c>
      <c r="N17" s="403">
        <f t="shared" si="0"/>
        <v>62425.85</v>
      </c>
    </row>
    <row r="18" spans="1:14" x14ac:dyDescent="0.25">
      <c r="A18" s="32">
        <v>15</v>
      </c>
      <c r="B18" s="352" t="s">
        <v>25</v>
      </c>
      <c r="C18" s="370">
        <f>[1]STA_SP4_NO!$P$37</f>
        <v>0</v>
      </c>
      <c r="D18" s="402">
        <f>[2]STA_SP4_NO!$P$37</f>
        <v>0</v>
      </c>
      <c r="E18" s="370">
        <f>[3]STA_SP4_NO!$P$37</f>
        <v>626</v>
      </c>
      <c r="F18" s="54">
        <f>[4]STA_SP4_NO!$P$37</f>
        <v>3.33</v>
      </c>
      <c r="G18" s="62">
        <f>[5]STA_SP4_NO!$P$37</f>
        <v>109</v>
      </c>
      <c r="H18" s="54">
        <f>[6]STA_SP4_NO!$P$37</f>
        <v>0</v>
      </c>
      <c r="I18" s="62">
        <f>[7]STA_SP4_NO!$P$37</f>
        <v>0</v>
      </c>
      <c r="J18" s="54">
        <f>[8]STA_SP4_NO!$P$37</f>
        <v>0</v>
      </c>
      <c r="K18" s="62">
        <f>[9]STA_SP4_NO!$P$37</f>
        <v>58.21</v>
      </c>
      <c r="L18" s="54">
        <f>[10]STA_SP4_NO!$P$37</f>
        <v>0</v>
      </c>
      <c r="M18" s="409">
        <f>[11]STA_SP4_NO!$P$37</f>
        <v>0</v>
      </c>
      <c r="N18" s="403">
        <f t="shared" si="0"/>
        <v>796.54000000000008</v>
      </c>
    </row>
    <row r="19" spans="1:14" x14ac:dyDescent="0.25">
      <c r="A19" s="32">
        <v>16</v>
      </c>
      <c r="B19" s="352" t="s">
        <v>26</v>
      </c>
      <c r="C19" s="370">
        <f>[1]STA_SP4_NO!$P$38</f>
        <v>2856.34</v>
      </c>
      <c r="D19" s="402">
        <f>[2]STA_SP4_NO!$P$38</f>
        <v>19270.849999999999</v>
      </c>
      <c r="E19" s="370">
        <f>[3]STA_SP4_NO!$P$38</f>
        <v>2</v>
      </c>
      <c r="F19" s="54">
        <f>[4]STA_SP4_NO!$P$38</f>
        <v>7356.16</v>
      </c>
      <c r="G19" s="62">
        <f>[5]STA_SP4_NO!$P$38</f>
        <v>244</v>
      </c>
      <c r="H19" s="54">
        <f>[6]STA_SP4_NO!$P$38</f>
        <v>0</v>
      </c>
      <c r="I19" s="62">
        <f>[7]STA_SP4_NO!$P$38</f>
        <v>5944</v>
      </c>
      <c r="J19" s="54">
        <f>[8]STA_SP4_NO!$P$38</f>
        <v>0</v>
      </c>
      <c r="K19" s="62">
        <f>[9]STA_SP4_NO!$P$38</f>
        <v>3895.44</v>
      </c>
      <c r="L19" s="54">
        <f>[10]STA_SP4_NO!$P$38</f>
        <v>510</v>
      </c>
      <c r="M19" s="409">
        <f>[11]STA_SP4_NO!$P$38</f>
        <v>0</v>
      </c>
      <c r="N19" s="403">
        <f t="shared" si="0"/>
        <v>40078.79</v>
      </c>
    </row>
    <row r="20" spans="1:14" x14ac:dyDescent="0.25">
      <c r="A20" s="32">
        <v>17</v>
      </c>
      <c r="B20" s="352" t="s">
        <v>27</v>
      </c>
      <c r="C20" s="370">
        <f>[1]STA_SP4_NO!$P$39</f>
        <v>0</v>
      </c>
      <c r="D20" s="402">
        <f>[2]STA_SP4_NO!$P$39</f>
        <v>0</v>
      </c>
      <c r="E20" s="370">
        <f>[3]STA_SP4_NO!$P$39</f>
        <v>0</v>
      </c>
      <c r="F20" s="54">
        <f>[4]STA_SP4_NO!$P$39</f>
        <v>0</v>
      </c>
      <c r="G20" s="62">
        <f>[5]STA_SP4_NO!$P$39</f>
        <v>0</v>
      </c>
      <c r="H20" s="54">
        <f>[6]STA_SP4_NO!$P$39</f>
        <v>0</v>
      </c>
      <c r="I20" s="62">
        <f>[7]STA_SP4_NO!$P$39</f>
        <v>0</v>
      </c>
      <c r="J20" s="54">
        <f>[8]STA_SP4_NO!$P$39</f>
        <v>0</v>
      </c>
      <c r="K20" s="62">
        <f>[9]STA_SP4_NO!$P$39</f>
        <v>0</v>
      </c>
      <c r="L20" s="54">
        <f>[10]STA_SP4_NO!$P$39</f>
        <v>0</v>
      </c>
      <c r="M20" s="409">
        <f>[11]STA_SP4_NO!$P$39</f>
        <v>0</v>
      </c>
      <c r="N20" s="403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370">
        <f>[1]STA_SP4_NO!$P$40</f>
        <v>7235.54</v>
      </c>
      <c r="D21" s="402">
        <f>[2]STA_SP4_NO!$P$40</f>
        <v>17328.95</v>
      </c>
      <c r="E21" s="370">
        <f>[3]STA_SP4_NO!$P$40</f>
        <v>4533</v>
      </c>
      <c r="F21" s="54">
        <f>[4]STA_SP4_NO!$P$40</f>
        <v>20822.580000000002</v>
      </c>
      <c r="G21" s="62">
        <f>[5]STA_SP4_NO!$P$40</f>
        <v>14837</v>
      </c>
      <c r="H21" s="54">
        <f>[6]STA_SP4_NO!$P$40</f>
        <v>2263</v>
      </c>
      <c r="I21" s="62">
        <f>[7]STA_SP4_NO!$P$40</f>
        <v>9170</v>
      </c>
      <c r="J21" s="54">
        <f>[8]STA_SP4_NO!$P$40</f>
        <v>6757</v>
      </c>
      <c r="K21" s="62">
        <f>[9]STA_SP4_NO!$P$40</f>
        <v>6207.23</v>
      </c>
      <c r="L21" s="54">
        <f>[10]STA_SP4_NO!$P$40</f>
        <v>9623</v>
      </c>
      <c r="M21" s="409">
        <f>[11]STA_SP4_NO!$P$40</f>
        <v>0</v>
      </c>
      <c r="N21" s="403">
        <f t="shared" si="0"/>
        <v>98777.3</v>
      </c>
    </row>
    <row r="22" spans="1:14" ht="15.75" thickBot="1" x14ac:dyDescent="0.3">
      <c r="A22" s="36"/>
      <c r="B22" s="366" t="s">
        <v>36</v>
      </c>
      <c r="C22" s="361">
        <f t="shared" ref="C22:D22" si="1">SUM(C4:C21)</f>
        <v>871248.73</v>
      </c>
      <c r="D22" s="363">
        <f t="shared" si="1"/>
        <v>668127.18999999983</v>
      </c>
      <c r="E22" s="359">
        <f t="shared" ref="E22:M22" si="2">SUM(E4:E21)</f>
        <v>254749</v>
      </c>
      <c r="F22" s="362">
        <f t="shared" si="2"/>
        <v>650420.43999999994</v>
      </c>
      <c r="G22" s="350">
        <f t="shared" si="2"/>
        <v>502854.99</v>
      </c>
      <c r="H22" s="362">
        <f t="shared" si="2"/>
        <v>331434</v>
      </c>
      <c r="I22" s="350">
        <f t="shared" si="2"/>
        <v>749638</v>
      </c>
      <c r="J22" s="362">
        <f t="shared" si="2"/>
        <v>355495</v>
      </c>
      <c r="K22" s="350">
        <f t="shared" si="2"/>
        <v>487344.5400000001</v>
      </c>
      <c r="L22" s="363">
        <f t="shared" si="2"/>
        <v>656592</v>
      </c>
      <c r="M22" s="406">
        <f t="shared" si="2"/>
        <v>99.87</v>
      </c>
      <c r="N22" s="236">
        <f t="shared" si="0"/>
        <v>5528003.7599999998</v>
      </c>
    </row>
    <row r="23" spans="1:14" ht="15.75" thickBot="1" x14ac:dyDescent="0.3">
      <c r="A23" s="43"/>
      <c r="B23" s="44"/>
      <c r="C23" s="59"/>
      <c r="D23" s="46"/>
      <c r="E23" s="59"/>
      <c r="F23" s="46"/>
      <c r="G23" s="46"/>
      <c r="H23" s="59"/>
      <c r="I23" s="46"/>
      <c r="J23" s="59"/>
      <c r="K23" s="46"/>
      <c r="L23" s="59"/>
      <c r="M23" s="348"/>
      <c r="N23" s="46"/>
    </row>
    <row r="24" spans="1:14" ht="15.75" thickBot="1" x14ac:dyDescent="0.3">
      <c r="A24" s="469" t="s">
        <v>52</v>
      </c>
      <c r="B24" s="470"/>
      <c r="C24" s="55">
        <f>C22/N22</f>
        <v>0.15760639243848851</v>
      </c>
      <c r="D24" s="56">
        <f>D22/N22</f>
        <v>0.12086228935560635</v>
      </c>
      <c r="E24" s="48">
        <f>E22/N22</f>
        <v>4.6083362287727532E-2</v>
      </c>
      <c r="F24" s="47">
        <f>F22/N22</f>
        <v>0.11765918914642706</v>
      </c>
      <c r="G24" s="70">
        <f>G22/N22</f>
        <v>9.0965023149694818E-2</v>
      </c>
      <c r="H24" s="47">
        <f>H22/N22</f>
        <v>5.9955458496287278E-2</v>
      </c>
      <c r="I24" s="404">
        <f>I22/N22</f>
        <v>0.13560736073015986</v>
      </c>
      <c r="J24" s="47">
        <f>J22/N22</f>
        <v>6.4308024276741815E-2</v>
      </c>
      <c r="K24" s="404">
        <f>K22/N22</f>
        <v>8.8159227301249185E-2</v>
      </c>
      <c r="L24" s="47">
        <f>L22/N22</f>
        <v>0.11877560662151214</v>
      </c>
      <c r="M24" s="342">
        <f>M22/N22</f>
        <v>1.8066196105481666E-5</v>
      </c>
      <c r="N24" s="258">
        <f>SUM(C24:M24)</f>
        <v>0.99999999999999989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1"/>
    </row>
    <row r="26" spans="1:14" ht="15.75" thickBot="1" x14ac:dyDescent="0.3">
      <c r="A26" s="424" t="s">
        <v>0</v>
      </c>
      <c r="B26" s="426" t="s">
        <v>1</v>
      </c>
      <c r="C26" s="483" t="s">
        <v>89</v>
      </c>
      <c r="D26" s="484"/>
      <c r="E26" s="484"/>
      <c r="F26" s="484"/>
      <c r="G26" s="484"/>
      <c r="H26" s="485"/>
      <c r="I26" s="448" t="s">
        <v>3</v>
      </c>
      <c r="J26" s="1"/>
      <c r="K26" s="1"/>
      <c r="L26" s="1"/>
      <c r="M26" s="1"/>
      <c r="N26" s="1"/>
    </row>
    <row r="27" spans="1:14" ht="15.75" thickBot="1" x14ac:dyDescent="0.3">
      <c r="A27" s="425"/>
      <c r="B27" s="428"/>
      <c r="C27" s="189" t="s">
        <v>10</v>
      </c>
      <c r="D27" s="215" t="s">
        <v>31</v>
      </c>
      <c r="E27" s="191" t="s">
        <v>7</v>
      </c>
      <c r="F27" s="127" t="s">
        <v>96</v>
      </c>
      <c r="G27" s="168" t="s">
        <v>4</v>
      </c>
      <c r="H27" s="210" t="s">
        <v>94</v>
      </c>
      <c r="I27" s="554"/>
      <c r="J27" s="81"/>
      <c r="K27" s="438" t="s">
        <v>32</v>
      </c>
      <c r="L27" s="439"/>
      <c r="M27" s="232">
        <f>N22</f>
        <v>5528003.7599999998</v>
      </c>
      <c r="N27" s="233">
        <f>M27/M29</f>
        <v>0.81197392813418712</v>
      </c>
    </row>
    <row r="28" spans="1:14" ht="15.75" thickBot="1" x14ac:dyDescent="0.3">
      <c r="A28" s="22">
        <v>19</v>
      </c>
      <c r="B28" s="128" t="s">
        <v>33</v>
      </c>
      <c r="C28" s="193">
        <f>[12]STA_SP1_ZO!$Q$51</f>
        <v>310255</v>
      </c>
      <c r="D28" s="200">
        <f>[13]STA_SP1_ZO!$Q$51</f>
        <v>216980</v>
      </c>
      <c r="E28" s="194">
        <f>[14]STA_SP1_ZO!$Q$51</f>
        <v>280595.38</v>
      </c>
      <c r="F28" s="50">
        <f>[15]STA_SP1_ZO!$Q$51</f>
        <v>121359.1</v>
      </c>
      <c r="G28" s="115">
        <f>[16]STA_SP1_ZO!$Q$51</f>
        <v>337133.15</v>
      </c>
      <c r="H28" s="50">
        <f>[17]STA_SP1_ZO!$Q$51</f>
        <v>13778.61</v>
      </c>
      <c r="I28" s="244">
        <f>SUM(C28:H28)</f>
        <v>1280101.24</v>
      </c>
      <c r="J28" s="81"/>
      <c r="K28" s="438" t="s">
        <v>33</v>
      </c>
      <c r="L28" s="439"/>
      <c r="M28" s="255">
        <f>I28</f>
        <v>1280101.24</v>
      </c>
      <c r="N28" s="235">
        <f>M28/M29</f>
        <v>0.18802607186581288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38" t="s">
        <v>3</v>
      </c>
      <c r="L29" s="439"/>
      <c r="M29" s="236">
        <f>M27+M28</f>
        <v>6808105</v>
      </c>
      <c r="N29" s="237">
        <f>M29/M29</f>
        <v>1</v>
      </c>
    </row>
    <row r="30" spans="1:14" ht="15.75" thickBot="1" x14ac:dyDescent="0.3">
      <c r="A30" s="429" t="s">
        <v>52</v>
      </c>
      <c r="B30" s="430"/>
      <c r="C30" s="23">
        <f>C28/I28</f>
        <v>0.24236754899167195</v>
      </c>
      <c r="D30" s="82">
        <f>D28/I28</f>
        <v>0.16950221843391075</v>
      </c>
      <c r="E30" s="23">
        <f>E28/I28</f>
        <v>0.21919780344873349</v>
      </c>
      <c r="F30" s="82">
        <f>F28/I28</f>
        <v>9.4804298447519669E-2</v>
      </c>
      <c r="G30" s="23">
        <f>G28/I28</f>
        <v>0.26336444295608996</v>
      </c>
      <c r="H30" s="82">
        <f>H28/I28</f>
        <v>1.0763687722074233E-2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N2:N3"/>
    <mergeCell ref="A30:B30"/>
    <mergeCell ref="K28:L28"/>
    <mergeCell ref="C1:I1"/>
    <mergeCell ref="A2:A3"/>
    <mergeCell ref="B2:B3"/>
    <mergeCell ref="A24:B24"/>
    <mergeCell ref="A26:A27"/>
    <mergeCell ref="B26:B27"/>
    <mergeCell ref="K27:L27"/>
    <mergeCell ref="K29:L29"/>
    <mergeCell ref="I26:I27"/>
    <mergeCell ref="C26:H26"/>
    <mergeCell ref="C2:M2"/>
  </mergeCells>
  <pageMargins left="0.25" right="0.25" top="0.75" bottom="0.75" header="0.3" footer="0.3"/>
  <pageSetup paperSize="9" scale="9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>
      <selection activeCell="K20" sqref="K20"/>
    </sheetView>
  </sheetViews>
  <sheetFormatPr defaultRowHeight="15" x14ac:dyDescent="0.25"/>
  <cols>
    <col min="1" max="1" width="4.7109375" customWidth="1"/>
    <col min="2" max="2" width="20.28515625" customWidth="1"/>
    <col min="8" max="8" width="11.42578125" customWidth="1"/>
    <col min="14" max="14" width="11.7109375" customWidth="1"/>
  </cols>
  <sheetData>
    <row r="1" spans="1:15" x14ac:dyDescent="0.25">
      <c r="A1" s="11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5">
      <c r="A2" s="556" t="s">
        <v>117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8"/>
      <c r="M2" s="1"/>
      <c r="N2" s="1"/>
    </row>
    <row r="3" spans="1:15" ht="15.75" thickBot="1" x14ac:dyDescent="0.3">
      <c r="A3" s="26"/>
      <c r="B3" s="498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26"/>
      <c r="N3" s="155" t="s">
        <v>90</v>
      </c>
    </row>
    <row r="4" spans="1:15" ht="15.75" thickBot="1" x14ac:dyDescent="0.3">
      <c r="A4" s="460" t="s">
        <v>0</v>
      </c>
      <c r="B4" s="565" t="s">
        <v>88</v>
      </c>
      <c r="C4" s="377" t="s">
        <v>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579" t="s">
        <v>3</v>
      </c>
    </row>
    <row r="5" spans="1:15" ht="15.75" thickBot="1" x14ac:dyDescent="0.3">
      <c r="A5" s="461"/>
      <c r="B5" s="564"/>
      <c r="C5" s="264" t="s">
        <v>68</v>
      </c>
      <c r="D5" s="171" t="s">
        <v>4</v>
      </c>
      <c r="E5" s="170" t="s">
        <v>5</v>
      </c>
      <c r="F5" s="411" t="s">
        <v>6</v>
      </c>
      <c r="G5" s="171" t="s">
        <v>8</v>
      </c>
      <c r="H5" s="228" t="s">
        <v>93</v>
      </c>
      <c r="I5" s="171" t="s">
        <v>96</v>
      </c>
      <c r="J5" s="265" t="s">
        <v>9</v>
      </c>
      <c r="K5" s="171" t="s">
        <v>92</v>
      </c>
      <c r="L5" s="169" t="s">
        <v>10</v>
      </c>
      <c r="M5" s="266" t="s">
        <v>95</v>
      </c>
      <c r="N5" s="580"/>
    </row>
    <row r="6" spans="1:15" ht="37.5" customHeight="1" x14ac:dyDescent="0.25">
      <c r="A6" s="30">
        <v>1</v>
      </c>
      <c r="B6" s="60" t="s">
        <v>58</v>
      </c>
      <c r="C6" s="67">
        <f>[1]STA_SP5_NO!$E$41</f>
        <v>907714.2</v>
      </c>
      <c r="D6" s="68">
        <f>[2]STA_SP5_NO!$E$41</f>
        <v>907875.61</v>
      </c>
      <c r="E6" s="61">
        <f>[3]STA_SP5_NO!$E$41</f>
        <v>177155</v>
      </c>
      <c r="F6" s="118">
        <f>[4]STA_SP5_NO!$E$41</f>
        <v>375150.3</v>
      </c>
      <c r="G6" s="68">
        <f>[5]STA_SP5_NO!$E$41</f>
        <v>359464.23</v>
      </c>
      <c r="H6" s="117">
        <f>[6]STA_SP5_NO!$E$41</f>
        <v>194462.2</v>
      </c>
      <c r="I6" s="68">
        <f>[7]STA_SP5_NO!$E$41</f>
        <v>295368</v>
      </c>
      <c r="J6" s="74">
        <f>[8]STA_SP5_NO!$E$41</f>
        <v>221491</v>
      </c>
      <c r="K6" s="68">
        <f>[9]STA_SP5_NO!$E$41</f>
        <v>250811.61</v>
      </c>
      <c r="L6" s="262">
        <f>[10]STA_SP5_NO!$E$41</f>
        <v>335592</v>
      </c>
      <c r="M6" s="260">
        <f>[11]STA_SP5_NO!$E$41</f>
        <v>15656.23</v>
      </c>
      <c r="N6" s="267">
        <f>SUM(C6:M6)</f>
        <v>4040740.38</v>
      </c>
    </row>
    <row r="7" spans="1:15" ht="37.5" customHeight="1" thickBot="1" x14ac:dyDescent="0.3">
      <c r="A7" s="83">
        <v>2</v>
      </c>
      <c r="B7" s="84" t="s">
        <v>59</v>
      </c>
      <c r="C7" s="85">
        <f>[1]STA_SP5_NO!$G$41</f>
        <v>384636.42</v>
      </c>
      <c r="D7" s="86">
        <f>[2]STA_SP5_NO!$G$41</f>
        <v>279339.96000000002</v>
      </c>
      <c r="E7" s="87">
        <f>[3]STA_SP5_NO!$G$41</f>
        <v>257800</v>
      </c>
      <c r="F7" s="412">
        <f>[4]STA_SP5_NO!$G$41</f>
        <v>262214.51</v>
      </c>
      <c r="G7" s="86">
        <f>[5]STA_SP5_NO!$G$41</f>
        <v>332067</v>
      </c>
      <c r="H7" s="410">
        <f>[6]STA_SP5_NO!$G$41</f>
        <v>181677.49</v>
      </c>
      <c r="I7" s="86">
        <f>[7]STA_SP5_NO!$G$41</f>
        <v>372763</v>
      </c>
      <c r="J7" s="87">
        <f>[8]STA_SP5_NO!$G$41</f>
        <v>314103.40000000002</v>
      </c>
      <c r="K7" s="68">
        <f>[9]STA_SP5_NO!$G$41</f>
        <v>258751.44</v>
      </c>
      <c r="L7" s="263">
        <f>[10]STA_SP5_NO!$G$41</f>
        <v>480407</v>
      </c>
      <c r="M7" s="186">
        <f>[11]STA_SP5_NO!$G$41</f>
        <v>32139.55</v>
      </c>
      <c r="N7" s="268">
        <f>SUM(C7:M7)</f>
        <v>3155899.77</v>
      </c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460" t="s">
        <v>0</v>
      </c>
      <c r="B10" s="563" t="s">
        <v>88</v>
      </c>
      <c r="C10" s="568" t="s">
        <v>89</v>
      </c>
      <c r="D10" s="568"/>
      <c r="E10" s="568"/>
      <c r="F10" s="568"/>
      <c r="G10" s="568"/>
      <c r="H10" s="568"/>
      <c r="I10" s="566" t="s">
        <v>3</v>
      </c>
      <c r="K10" s="571" t="s">
        <v>80</v>
      </c>
      <c r="L10" s="572"/>
      <c r="M10" s="575" t="s">
        <v>2</v>
      </c>
      <c r="N10" s="577" t="s">
        <v>89</v>
      </c>
      <c r="O10" s="569" t="s">
        <v>3</v>
      </c>
    </row>
    <row r="11" spans="1:15" ht="15.75" thickBot="1" x14ac:dyDescent="0.3">
      <c r="A11" s="461"/>
      <c r="B11" s="564"/>
      <c r="C11" s="169" t="s">
        <v>10</v>
      </c>
      <c r="D11" s="195" t="s">
        <v>31</v>
      </c>
      <c r="E11" s="170" t="s">
        <v>7</v>
      </c>
      <c r="F11" s="171" t="s">
        <v>96</v>
      </c>
      <c r="G11" s="170" t="s">
        <v>4</v>
      </c>
      <c r="H11" s="216" t="s">
        <v>94</v>
      </c>
      <c r="I11" s="567"/>
      <c r="K11" s="573"/>
      <c r="L11" s="574"/>
      <c r="M11" s="576"/>
      <c r="N11" s="578"/>
      <c r="O11" s="570"/>
    </row>
    <row r="12" spans="1:15" ht="37.5" customHeight="1" thickBot="1" x14ac:dyDescent="0.3">
      <c r="A12" s="96">
        <v>1</v>
      </c>
      <c r="B12" s="60" t="s">
        <v>58</v>
      </c>
      <c r="C12" s="97">
        <f>[12]STA_SP4_ZO!$G$51</f>
        <v>20335</v>
      </c>
      <c r="D12" s="201">
        <f>[13]STA_SP4_ZO!$G$51</f>
        <v>40276</v>
      </c>
      <c r="E12" s="99">
        <f>[14]STA_SP4_ZO!$G$51</f>
        <v>10606.41</v>
      </c>
      <c r="F12" s="98">
        <f>[15]STA_SP4_ZO!$G$51</f>
        <v>9285</v>
      </c>
      <c r="G12" s="100">
        <f>[16]STA_SP4_ZO!$G$51</f>
        <v>4202.95</v>
      </c>
      <c r="H12" s="172">
        <f>[17]STA_SP4_ZO!$G$51</f>
        <v>99.6</v>
      </c>
      <c r="I12" s="271">
        <f>SUM(C12:H12)</f>
        <v>84804.96</v>
      </c>
      <c r="K12" s="559" t="s">
        <v>58</v>
      </c>
      <c r="L12" s="560"/>
      <c r="M12" s="105">
        <f>N6</f>
        <v>4040740.38</v>
      </c>
      <c r="N12" s="114">
        <f>I12</f>
        <v>84804.96</v>
      </c>
      <c r="O12" s="269">
        <f>SUM(M12:N12)</f>
        <v>4125545.34</v>
      </c>
    </row>
    <row r="13" spans="1:15" ht="37.5" customHeight="1" thickBot="1" x14ac:dyDescent="0.3">
      <c r="A13" s="83">
        <v>2</v>
      </c>
      <c r="B13" s="84" t="s">
        <v>59</v>
      </c>
      <c r="C13" s="101">
        <f>[12]STA_SP4_ZO!$H$51</f>
        <v>7324</v>
      </c>
      <c r="D13" s="202">
        <f>[13]STA_SP4_ZO!$H$51</f>
        <v>9145</v>
      </c>
      <c r="E13" s="103">
        <f>[14]STA_SP4_ZO!$H$51</f>
        <v>12533.94</v>
      </c>
      <c r="F13" s="102">
        <f>[15]STA_SP4_ZO!$H$51</f>
        <v>1986</v>
      </c>
      <c r="G13" s="104">
        <f>[16]STA_SP4_ZO!$H$51</f>
        <v>1867.5</v>
      </c>
      <c r="H13" s="95">
        <f>[17]STA_SP4_ZO!$H$51</f>
        <v>410.35</v>
      </c>
      <c r="I13" s="272">
        <f>SUM(C13:H13)</f>
        <v>33266.79</v>
      </c>
      <c r="K13" s="561" t="s">
        <v>59</v>
      </c>
      <c r="L13" s="562"/>
      <c r="M13" s="106">
        <f>N7</f>
        <v>3155899.77</v>
      </c>
      <c r="N13" s="114">
        <f>I13</f>
        <v>33266.79</v>
      </c>
      <c r="O13" s="270">
        <f>SUM(M13:N13)</f>
        <v>3189166.56</v>
      </c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15">
    <mergeCell ref="O10:O11"/>
    <mergeCell ref="K10:L11"/>
    <mergeCell ref="M10:M11"/>
    <mergeCell ref="N10:N11"/>
    <mergeCell ref="N4:N5"/>
    <mergeCell ref="A2:L2"/>
    <mergeCell ref="K12:L12"/>
    <mergeCell ref="K13:L13"/>
    <mergeCell ref="B10:B11"/>
    <mergeCell ref="A10:A11"/>
    <mergeCell ref="B3:L3"/>
    <mergeCell ref="A4:A5"/>
    <mergeCell ref="B4:B5"/>
    <mergeCell ref="I10:I11"/>
    <mergeCell ref="C10:H10"/>
  </mergeCells>
  <pageMargins left="0.25" right="0.25" top="0.75" bottom="0.75" header="0.3" footer="0.3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4" workbookViewId="0">
      <selection activeCell="B37" sqref="B37:M42"/>
    </sheetView>
  </sheetViews>
  <sheetFormatPr defaultRowHeight="15" x14ac:dyDescent="0.25"/>
  <cols>
    <col min="1" max="1" width="25.7109375" customWidth="1"/>
    <col min="12" max="12" width="10.5703125" customWidth="1"/>
    <col min="13" max="13" width="10.28515625" customWidth="1"/>
    <col min="14" max="14" width="11.5703125" customWidth="1"/>
  </cols>
  <sheetData>
    <row r="1" spans="1:13" ht="11.25" customHeight="1" thickBot="1" x14ac:dyDescent="0.3">
      <c r="A1" s="119"/>
      <c r="B1" s="119"/>
      <c r="C1" s="158" t="s">
        <v>118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thickBot="1" x14ac:dyDescent="0.3">
      <c r="A2" s="77"/>
      <c r="B2" s="78" t="s">
        <v>68</v>
      </c>
      <c r="C2" s="64" t="s">
        <v>4</v>
      </c>
      <c r="D2" s="65" t="s">
        <v>5</v>
      </c>
      <c r="E2" s="64" t="s">
        <v>6</v>
      </c>
      <c r="F2" s="64" t="s">
        <v>8</v>
      </c>
      <c r="G2" s="21" t="s">
        <v>93</v>
      </c>
      <c r="H2" s="64" t="s">
        <v>96</v>
      </c>
      <c r="I2" s="65" t="s">
        <v>9</v>
      </c>
      <c r="J2" s="64" t="s">
        <v>92</v>
      </c>
      <c r="K2" s="63" t="s">
        <v>10</v>
      </c>
      <c r="L2" s="273" t="s">
        <v>95</v>
      </c>
      <c r="M2" s="64" t="s">
        <v>3</v>
      </c>
    </row>
    <row r="3" spans="1:13" x14ac:dyDescent="0.25">
      <c r="A3" s="123" t="s">
        <v>69</v>
      </c>
      <c r="B3" s="75"/>
      <c r="C3" s="75"/>
      <c r="D3" s="76"/>
      <c r="E3" s="75"/>
      <c r="F3" s="75"/>
      <c r="G3" s="75"/>
      <c r="H3" s="75"/>
      <c r="I3" s="76"/>
      <c r="J3" s="75"/>
      <c r="K3" s="274"/>
      <c r="L3" s="76"/>
      <c r="M3" s="75"/>
    </row>
    <row r="4" spans="1:13" x14ac:dyDescent="0.25">
      <c r="A4" s="124" t="s">
        <v>75</v>
      </c>
      <c r="B4" s="149">
        <f>[1]STA_SP7_NO!$C$9</f>
        <v>4427</v>
      </c>
      <c r="C4" s="149">
        <f>[2]STA_SP7_NO!$C$9</f>
        <v>74099</v>
      </c>
      <c r="D4" s="150">
        <f>[3]STA_SP7_NO!$C$9</f>
        <v>7971</v>
      </c>
      <c r="E4" s="149">
        <f>[4]STA_SP7_NO!$C$9</f>
        <v>50634</v>
      </c>
      <c r="F4" s="149">
        <f>[5]STA_SP7_NO!$C$9</f>
        <v>78120</v>
      </c>
      <c r="G4" s="149">
        <f>[6]STA_SP7_NO!$C$9</f>
        <v>199</v>
      </c>
      <c r="H4" s="149">
        <f>[7]STA_SP7_NO!$C$9</f>
        <v>10049</v>
      </c>
      <c r="I4" s="149">
        <f>[8]STA_SP7_NO!$C$9</f>
        <v>54171</v>
      </c>
      <c r="J4" s="149">
        <f>[9]STA_SP7_NO!$C$9</f>
        <v>3368</v>
      </c>
      <c r="K4" s="149">
        <f>[10]STA_SP7_NO!$C$9</f>
        <v>49411</v>
      </c>
      <c r="L4" s="290">
        <f>[11]STA_SP7_NO!$C$9</f>
        <v>17</v>
      </c>
      <c r="M4" s="149">
        <f>SUM(B4:L4)</f>
        <v>332466</v>
      </c>
    </row>
    <row r="5" spans="1:13" x14ac:dyDescent="0.25">
      <c r="A5" s="124" t="s">
        <v>76</v>
      </c>
      <c r="B5" s="149">
        <f>[1]STA_SP7_NO!$D$9</f>
        <v>215196.79999999999</v>
      </c>
      <c r="C5" s="149">
        <f>[2]STA_SP7_NO!$D$9</f>
        <v>676485.64</v>
      </c>
      <c r="D5" s="150">
        <f>[3]STA_SP7_NO!$D$9</f>
        <v>79203</v>
      </c>
      <c r="E5" s="149">
        <f>[4]STA_SP7_NO!$D$9</f>
        <v>455982.03</v>
      </c>
      <c r="F5" s="149">
        <f>[5]STA_SP7_NO!$D$9</f>
        <v>642632.19999999995</v>
      </c>
      <c r="G5" s="149">
        <f>[6]STA_SP7_NO!$D$9</f>
        <v>1391</v>
      </c>
      <c r="H5" s="149">
        <f>[7]STA_SP7_NO!$D$9</f>
        <v>124898</v>
      </c>
      <c r="I5" s="149">
        <f>[8]STA_SP7_NO!$D$9</f>
        <v>326993</v>
      </c>
      <c r="J5" s="149">
        <f>[9]STA_SP7_NO!$D$9</f>
        <v>60088.28</v>
      </c>
      <c r="K5" s="149">
        <f>[10]STA_SP7_NO!$D$9</f>
        <v>476893</v>
      </c>
      <c r="L5" s="291">
        <f>[11]STA_SP7_NO!$D$9</f>
        <v>41.21</v>
      </c>
      <c r="M5" s="149">
        <f>SUM(B5:L5)</f>
        <v>3059804.1599999997</v>
      </c>
    </row>
    <row r="6" spans="1:13" x14ac:dyDescent="0.25">
      <c r="A6" s="124" t="s">
        <v>57</v>
      </c>
      <c r="B6" s="149">
        <f>[1]STA_SP7_NO!$E$9</f>
        <v>0</v>
      </c>
      <c r="C6" s="149">
        <f>[2]STA_SP7_NO!$E$9</f>
        <v>0</v>
      </c>
      <c r="D6" s="150">
        <f>[3]STA_SP7_NO!$E$9</f>
        <v>0</v>
      </c>
      <c r="E6" s="149">
        <f>[4]STA_SP7_NO!$E$9</f>
        <v>0</v>
      </c>
      <c r="F6" s="149">
        <f>[5]STA_SP7_NO!$E$9</f>
        <v>0</v>
      </c>
      <c r="G6" s="149">
        <f>[6]STA_SP7_NO!$F$9</f>
        <v>0</v>
      </c>
      <c r="H6" s="149">
        <f>[7]STA_SP7_NO!$E$9</f>
        <v>0</v>
      </c>
      <c r="I6" s="149">
        <f>[8]STA_SP7_NO!$E$9</f>
        <v>0</v>
      </c>
      <c r="J6" s="149">
        <f>[9]STA_SP7_NO!$E$9</f>
        <v>0</v>
      </c>
      <c r="K6" s="149">
        <f>[10]STA_SP7_NO!$E$9</f>
        <v>0</v>
      </c>
      <c r="L6" s="290">
        <f>[11]STA_SP7_NO!$E$9</f>
        <v>0</v>
      </c>
      <c r="M6" s="149">
        <f>SUM(B6:L6)</f>
        <v>0</v>
      </c>
    </row>
    <row r="7" spans="1:13" x14ac:dyDescent="0.25">
      <c r="A7" s="123" t="s">
        <v>70</v>
      </c>
      <c r="B7" s="75"/>
      <c r="C7" s="75"/>
      <c r="D7" s="76"/>
      <c r="E7" s="75"/>
      <c r="F7" s="75"/>
      <c r="G7" s="75"/>
      <c r="H7" s="75"/>
      <c r="I7" s="76"/>
      <c r="J7" s="75"/>
      <c r="K7" s="75"/>
      <c r="L7" s="76"/>
      <c r="M7" s="75"/>
    </row>
    <row r="8" spans="1:13" x14ac:dyDescent="0.25">
      <c r="A8" s="124" t="s">
        <v>75</v>
      </c>
      <c r="B8" s="149">
        <f>[1]STA_SP7_NO!$C$18</f>
        <v>14435</v>
      </c>
      <c r="C8" s="149">
        <f>[2]STA_SP7_NO!$C$18</f>
        <v>33206</v>
      </c>
      <c r="D8" s="150">
        <f>[3]STA_SP7_NO!$C$18</f>
        <v>6817</v>
      </c>
      <c r="E8" s="149">
        <f>[4]STA_SP7_NO!$C$18</f>
        <v>22062</v>
      </c>
      <c r="F8" s="149">
        <f>[5]STA_SP7_NO!$C$18</f>
        <v>16357</v>
      </c>
      <c r="G8" s="149">
        <f>[6]STA_SP7_NO!$C$18</f>
        <v>50696</v>
      </c>
      <c r="H8" s="149">
        <f>[7]STA_SP7_NO!$C$18</f>
        <v>49938</v>
      </c>
      <c r="I8" s="149">
        <f>[8]STA_SP7_NO!$C$18</f>
        <v>18616</v>
      </c>
      <c r="J8" s="149">
        <f>[9]STA_SP7_NO!$C$18</f>
        <v>7136</v>
      </c>
      <c r="K8" s="149">
        <f>[10]STA_SP7_NO!$C$18</f>
        <v>40155</v>
      </c>
      <c r="L8" s="291">
        <f>[11]STA_SP7_NO!$C$18</f>
        <v>47</v>
      </c>
      <c r="M8" s="149">
        <f>SUM(B8:L8)</f>
        <v>259465</v>
      </c>
    </row>
    <row r="9" spans="1:13" x14ac:dyDescent="0.25">
      <c r="A9" s="124" t="s">
        <v>76</v>
      </c>
      <c r="B9" s="149">
        <f>[1]STA_SP7_NO!$D$18</f>
        <v>312847.59000000003</v>
      </c>
      <c r="C9" s="149">
        <f>[2]STA_SP7_NO!$D18</f>
        <v>225254.49</v>
      </c>
      <c r="D9" s="150">
        <f>[3]STA_SP7_NO!$D$18</f>
        <v>51698</v>
      </c>
      <c r="E9" s="149">
        <f>[4]STA_SP7_NO!$D$18</f>
        <v>163238.96</v>
      </c>
      <c r="F9" s="149">
        <f>[5]STA_SP7_NO!$D$18</f>
        <v>198234.48</v>
      </c>
      <c r="G9" s="149">
        <f>[6]STA_SP7_NO!$D$18</f>
        <v>269605</v>
      </c>
      <c r="H9" s="149">
        <f>[7]STA_SP7_NO!$D$18</f>
        <v>504310</v>
      </c>
      <c r="I9" s="149">
        <f>[8]STA_SP7_NO!$D$18</f>
        <v>123080</v>
      </c>
      <c r="J9" s="149">
        <f>[9]STA_SP7_NO!$D$18</f>
        <v>89818.98</v>
      </c>
      <c r="K9" s="149">
        <f>[10]STA_SP7_NO!$D$18</f>
        <v>302060</v>
      </c>
      <c r="L9" s="291">
        <f>[11]STA_SP7_NO!$D$18</f>
        <v>88.62</v>
      </c>
      <c r="M9" s="149">
        <f>SUM(B9:L9)</f>
        <v>2240236.12</v>
      </c>
    </row>
    <row r="10" spans="1:13" x14ac:dyDescent="0.25">
      <c r="A10" s="124" t="s">
        <v>57</v>
      </c>
      <c r="B10" s="149">
        <f>[1]STA_SP7_NO!$E$18</f>
        <v>60114.16</v>
      </c>
      <c r="C10" s="149">
        <f>[2]STA_SP7_NO!$E$18</f>
        <v>51897.14</v>
      </c>
      <c r="D10" s="150">
        <f>[3]STA_SP7_NO!$E$18</f>
        <v>13856</v>
      </c>
      <c r="E10" s="149">
        <f>[4]STA_SP7_NO!$E$18</f>
        <v>34021.519999999997</v>
      </c>
      <c r="F10" s="149">
        <f>[5]STA_SP7_NO!$E$18</f>
        <v>42639.88</v>
      </c>
      <c r="G10" s="149">
        <f>[6]STA_SP7_NO!$E$18</f>
        <v>87891</v>
      </c>
      <c r="H10" s="149">
        <f>[7]STA_SP7_NO!$E$18</f>
        <v>129815</v>
      </c>
      <c r="I10" s="149">
        <f>[8]STA_SP7_NO!$E$18</f>
        <v>34449.67</v>
      </c>
      <c r="J10" s="149">
        <f>[9]STA_SP7_NO!$E$18</f>
        <v>24777</v>
      </c>
      <c r="K10" s="149">
        <f>[10]STA_SP7_NO!$E$18</f>
        <v>85199</v>
      </c>
      <c r="L10" s="291">
        <f>[11]STA_SP7_NO!$E$18</f>
        <v>66.040000000000006</v>
      </c>
      <c r="M10" s="149">
        <f>SUM(B10:L10)</f>
        <v>564726.41</v>
      </c>
    </row>
    <row r="11" spans="1:13" x14ac:dyDescent="0.25">
      <c r="A11" s="123" t="s">
        <v>71</v>
      </c>
      <c r="B11" s="75"/>
      <c r="C11" s="75"/>
      <c r="D11" s="76"/>
      <c r="E11" s="75"/>
      <c r="F11" s="75"/>
      <c r="G11" s="75"/>
      <c r="H11" s="75"/>
      <c r="I11" s="76"/>
      <c r="J11" s="75"/>
      <c r="K11" s="75"/>
      <c r="L11" s="76"/>
      <c r="M11" s="75"/>
    </row>
    <row r="12" spans="1:13" x14ac:dyDescent="0.25">
      <c r="A12" s="124" t="s">
        <v>75</v>
      </c>
      <c r="B12" s="149">
        <f>[1]STA_SP7_NO!$C$19</f>
        <v>32511</v>
      </c>
      <c r="C12" s="149">
        <f>[2]STA_SP7_NO!$C$19</f>
        <v>12</v>
      </c>
      <c r="D12" s="150">
        <f>[3]STA_SP7_NO!$C$19</f>
        <v>7502</v>
      </c>
      <c r="E12" s="149">
        <f>[4]STA_SP7_NO!$C$19</f>
        <v>2276</v>
      </c>
      <c r="F12" s="149">
        <f>[5]STA_SP7_NO!$C$19</f>
        <v>0</v>
      </c>
      <c r="G12" s="149">
        <f>[6]STA_SP7_NO!$C$19</f>
        <v>782</v>
      </c>
      <c r="H12" s="149">
        <f>[7]STA_SP7_NO!$C$19</f>
        <v>9720</v>
      </c>
      <c r="I12" s="149">
        <f>[8]STA_SP7_NO!$C$19</f>
        <v>2085</v>
      </c>
      <c r="J12" s="149">
        <f>[9]STA_SP7_NO!$C$19</f>
        <v>0</v>
      </c>
      <c r="K12" s="149">
        <f>[10]STA_SP7_NO!$C$19</f>
        <v>0</v>
      </c>
      <c r="L12" s="291">
        <f>[11]STA_SP7_NO!$C$19</f>
        <v>0</v>
      </c>
      <c r="M12" s="149">
        <f>SUM(B12:L12)</f>
        <v>54888</v>
      </c>
    </row>
    <row r="13" spans="1:13" x14ac:dyDescent="0.25">
      <c r="A13" s="124" t="s">
        <v>76</v>
      </c>
      <c r="B13" s="149">
        <f>[1]STA_SP7_NO!$D$19</f>
        <v>309073.31</v>
      </c>
      <c r="C13" s="149">
        <f>[2]STA_SP7_NO!$D$19</f>
        <v>132.41</v>
      </c>
      <c r="D13" s="150">
        <f>[3]STA_SP7_NO!$D$19</f>
        <v>41930</v>
      </c>
      <c r="E13" s="149">
        <f>[4]STA_SP7_NO!$D$19</f>
        <v>10045.709999999999</v>
      </c>
      <c r="F13" s="149">
        <f>[5]STA_SP7_NO!$D$19</f>
        <v>0</v>
      </c>
      <c r="G13" s="149">
        <f>[6]STA_SP7_NO!$D$19</f>
        <v>4464</v>
      </c>
      <c r="H13" s="149">
        <f>[7]STA_SP7_NO!$D$19</f>
        <v>54539</v>
      </c>
      <c r="I13" s="149">
        <f>[8]STA_SP7_NO!$D$19</f>
        <v>11494</v>
      </c>
      <c r="J13" s="149">
        <f>[9]STA_SP7_NO!$D$19</f>
        <v>0</v>
      </c>
      <c r="K13" s="149">
        <f>[10]STA_SP7_NO!$D$19</f>
        <v>0</v>
      </c>
      <c r="L13" s="291">
        <f>[11]STA_SP7_NO!$D$19</f>
        <v>0</v>
      </c>
      <c r="M13" s="149">
        <f>SUM(B13:L13)</f>
        <v>431678.43</v>
      </c>
    </row>
    <row r="14" spans="1:13" x14ac:dyDescent="0.25">
      <c r="A14" s="124" t="s">
        <v>57</v>
      </c>
      <c r="B14" s="149">
        <f>[1]STA_SP7_NO!$E$19</f>
        <v>74966.31</v>
      </c>
      <c r="C14" s="149">
        <f>[2]STA_SP7_NO!$E$19</f>
        <v>24.31</v>
      </c>
      <c r="D14" s="150">
        <f>[3]STA_SP7_NO!$E$19</f>
        <v>12773</v>
      </c>
      <c r="E14" s="149">
        <f>[4]STA_SP7_NO!$E$19</f>
        <v>2318.52</v>
      </c>
      <c r="F14" s="149">
        <f>[5]STA_SP7_NO!$E$19</f>
        <v>0</v>
      </c>
      <c r="G14" s="149">
        <f>[6]STA_SP7_NO!$E$19</f>
        <v>1562</v>
      </c>
      <c r="H14" s="149">
        <f>[7]STA_SP7_NO!$E$19</f>
        <v>16956</v>
      </c>
      <c r="I14" s="149">
        <f>[8]STA_SP7_NO!$E$19</f>
        <v>3938.26</v>
      </c>
      <c r="J14" s="149">
        <f>[9]STA_SP7_NO!$E$19</f>
        <v>0</v>
      </c>
      <c r="K14" s="149">
        <f>[10]STA_SP7_NO!$E$19</f>
        <v>0</v>
      </c>
      <c r="L14" s="291">
        <f>[11]STA_SP7_NO!$E$19</f>
        <v>0</v>
      </c>
      <c r="M14" s="149">
        <f>SUM(B14:L14)</f>
        <v>112538.4</v>
      </c>
    </row>
    <row r="15" spans="1:13" x14ac:dyDescent="0.25">
      <c r="A15" s="123" t="s">
        <v>72</v>
      </c>
      <c r="B15" s="75"/>
      <c r="C15" s="75"/>
      <c r="D15" s="76"/>
      <c r="E15" s="75"/>
      <c r="F15" s="75"/>
      <c r="G15" s="75"/>
      <c r="H15" s="75"/>
      <c r="I15" s="76"/>
      <c r="J15" s="75"/>
      <c r="K15" s="75"/>
      <c r="L15" s="76"/>
      <c r="M15" s="75"/>
    </row>
    <row r="16" spans="1:13" x14ac:dyDescent="0.25">
      <c r="A16" s="124" t="s">
        <v>75</v>
      </c>
      <c r="B16" s="149">
        <f>[1]STA_SP7_NO!$C$20</f>
        <v>679</v>
      </c>
      <c r="C16" s="149">
        <f>[2]STA_SP7_NO!$C$20</f>
        <v>954</v>
      </c>
      <c r="D16" s="150">
        <f>[3]STA_SP7_NO!$C$20</f>
        <v>0</v>
      </c>
      <c r="E16" s="149">
        <f>[4]STA_SP7_NO!$C$20</f>
        <v>2063</v>
      </c>
      <c r="F16" s="149">
        <f>[5]STA_SP7_NO!$C$20</f>
        <v>10093</v>
      </c>
      <c r="G16" s="149">
        <f>[6]STA_SP7_NO!$C$20</f>
        <v>252</v>
      </c>
      <c r="H16" s="149">
        <f>[7]STA_SP7_NO!$C$20</f>
        <v>700</v>
      </c>
      <c r="I16" s="149">
        <f>[8]STA_SP7_NO!$C$20</f>
        <v>555</v>
      </c>
      <c r="J16" s="149">
        <f>[9]STA_SP7_NO!$C$20</f>
        <v>74</v>
      </c>
      <c r="K16" s="149">
        <f>[10]STA_SP7_NO!$C$20</f>
        <v>267</v>
      </c>
      <c r="L16" s="291">
        <f>[11]STA_SP7_NO!$C$20</f>
        <v>0</v>
      </c>
      <c r="M16" s="149">
        <f>SUM(B16:L16)</f>
        <v>15637</v>
      </c>
    </row>
    <row r="17" spans="1:13" x14ac:dyDescent="0.25">
      <c r="A17" s="124" t="s">
        <v>76</v>
      </c>
      <c r="B17" s="149">
        <f>[1]STA_SP7_NO!$D$20</f>
        <v>220.73</v>
      </c>
      <c r="C17" s="149">
        <f>[2]STA_SP7_NO!$D$20</f>
        <v>1420.86</v>
      </c>
      <c r="D17" s="150">
        <f>[3]STA_SP7_NO!$D$20</f>
        <v>0</v>
      </c>
      <c r="E17" s="149">
        <f>[4]STA_SP7_NO!$D$20</f>
        <v>1397.71</v>
      </c>
      <c r="F17" s="149">
        <f>[5]STA_SP7_NO!$D$20</f>
        <v>5746.33</v>
      </c>
      <c r="G17" s="149">
        <f>[6]STA_SP7_NO!$D$20</f>
        <v>157</v>
      </c>
      <c r="H17" s="149">
        <f>[7]STA_SP7_NO!$D$20</f>
        <v>400</v>
      </c>
      <c r="I17" s="149">
        <f>[8]STA_SP7_NO!$D$20</f>
        <v>474</v>
      </c>
      <c r="J17" s="149">
        <f>[9]STA_SP7_NO!$D$20</f>
        <v>40.74</v>
      </c>
      <c r="K17" s="149">
        <f>[10]STA_SP7_NO!$D$20</f>
        <v>861</v>
      </c>
      <c r="L17" s="291">
        <f>[11]STA_SP7_NO!$D$20</f>
        <v>0</v>
      </c>
      <c r="M17" s="149">
        <f>SUM(B17:L17)</f>
        <v>10718.37</v>
      </c>
    </row>
    <row r="18" spans="1:13" x14ac:dyDescent="0.25">
      <c r="A18" s="124" t="s">
        <v>57</v>
      </c>
      <c r="B18" s="149">
        <f>[1]STA_SP7_NO!$E$20</f>
        <v>66.23</v>
      </c>
      <c r="C18" s="149">
        <f>[2]STA_SP7_NO!$E$20</f>
        <v>501.88</v>
      </c>
      <c r="D18" s="150">
        <f>[3]STA_SP7_NO!$E$20</f>
        <v>0</v>
      </c>
      <c r="E18" s="149">
        <f>[4]STA_SP7_NO!$E$20</f>
        <v>419.3</v>
      </c>
      <c r="F18" s="149">
        <f>[5]STA_SP7_NO!$E$20</f>
        <v>1734.21</v>
      </c>
      <c r="G18" s="149">
        <f>[6]STA_SP7_NO!$E$20</f>
        <v>54</v>
      </c>
      <c r="H18" s="149">
        <f>[7]STA_SP7_NO!$E$20</f>
        <v>0</v>
      </c>
      <c r="I18" s="149">
        <f>[8]STA_SP7_NO!$E$20</f>
        <v>129.59</v>
      </c>
      <c r="J18" s="149">
        <f>[9]STA_SP7_NO!$E$20</f>
        <v>8</v>
      </c>
      <c r="K18" s="149">
        <f>[10]STA_SP7_NO!$E$20</f>
        <v>296</v>
      </c>
      <c r="L18" s="291">
        <f>[11]STA_SP7_NO!$E$20</f>
        <v>0</v>
      </c>
      <c r="M18" s="149">
        <f>SUM(B18:L18)</f>
        <v>3209.21</v>
      </c>
    </row>
    <row r="19" spans="1:13" x14ac:dyDescent="0.25">
      <c r="A19" s="123" t="s">
        <v>73</v>
      </c>
      <c r="B19" s="75"/>
      <c r="C19" s="75"/>
      <c r="D19" s="76"/>
      <c r="E19" s="75"/>
      <c r="F19" s="75"/>
      <c r="G19" s="75"/>
      <c r="H19" s="75"/>
      <c r="I19" s="76"/>
      <c r="J19" s="75"/>
      <c r="K19" s="75"/>
      <c r="L19" s="76"/>
      <c r="M19" s="75"/>
    </row>
    <row r="20" spans="1:13" x14ac:dyDescent="0.25">
      <c r="A20" s="124" t="s">
        <v>75</v>
      </c>
      <c r="B20" s="149">
        <f>[1]STA_SP7_NO!$C$21</f>
        <v>0</v>
      </c>
      <c r="C20" s="149">
        <f>[2]STA_SP7_NO!$C$21</f>
        <v>0</v>
      </c>
      <c r="D20" s="150">
        <f>[3]STA_SP7_NO!$C$21</f>
        <v>354</v>
      </c>
      <c r="E20" s="149">
        <f>[4]STA_SP7_NO!$C$21</f>
        <v>0</v>
      </c>
      <c r="F20" s="149">
        <f>[5]STA_SP7_NO!$C$21</f>
        <v>0</v>
      </c>
      <c r="G20" s="149">
        <f>[6]STA_SP7_NO!$C$21</f>
        <v>0</v>
      </c>
      <c r="H20" s="149">
        <f>[7]STA_SP7_NO!$C$21</f>
        <v>0</v>
      </c>
      <c r="I20" s="149">
        <f>[8]STA_SP7_NO!$C$21</f>
        <v>0</v>
      </c>
      <c r="J20" s="149">
        <f>[9]STA_SP7_NO!$C$21</f>
        <v>0</v>
      </c>
      <c r="K20" s="149">
        <f>[10]STA_SP7_NO!$C$21</f>
        <v>0</v>
      </c>
      <c r="L20" s="291">
        <f>[11]STA_SP7_NO!$C$21</f>
        <v>0</v>
      </c>
      <c r="M20" s="149">
        <f>SUM(B20:L20)</f>
        <v>354</v>
      </c>
    </row>
    <row r="21" spans="1:13" x14ac:dyDescent="0.25">
      <c r="A21" s="124" t="s">
        <v>76</v>
      </c>
      <c r="B21" s="149">
        <f>[1]STA_SP7_NO!$D$21</f>
        <v>0</v>
      </c>
      <c r="C21" s="149">
        <f>[2]STA_SP7_NO!$D$21</f>
        <v>0</v>
      </c>
      <c r="D21" s="150">
        <f>[3]STA_SP7_NO!$D$21</f>
        <v>4663</v>
      </c>
      <c r="E21" s="149">
        <f>[4]STA_SP7_NO!$D$21</f>
        <v>0</v>
      </c>
      <c r="F21" s="149">
        <f>[5]STA_SP7_NO!$D$21</f>
        <v>0</v>
      </c>
      <c r="G21" s="149">
        <f>[6]STA_SP7_NO!$D$21</f>
        <v>0</v>
      </c>
      <c r="H21" s="149">
        <f>[7]STA_SP7_NO!$D$21</f>
        <v>0</v>
      </c>
      <c r="I21" s="149">
        <f>[8]STA_SP7_NO!$D$21</f>
        <v>0</v>
      </c>
      <c r="J21" s="149">
        <f>[9]STA_SP7_NO!$D$21</f>
        <v>0</v>
      </c>
      <c r="K21" s="149">
        <f>[10]STA_SP7_NO!$D$21</f>
        <v>0</v>
      </c>
      <c r="L21" s="291">
        <f>[11]STA_SP7_NO!$D$21</f>
        <v>0</v>
      </c>
      <c r="M21" s="149">
        <f>SUM(B21:L21)</f>
        <v>4663</v>
      </c>
    </row>
    <row r="22" spans="1:13" ht="12.75" customHeight="1" x14ac:dyDescent="0.25">
      <c r="A22" s="124" t="s">
        <v>57</v>
      </c>
      <c r="B22" s="149">
        <f>[1]STA_SP7_NO!$E$21</f>
        <v>0</v>
      </c>
      <c r="C22" s="149">
        <f>[2]STA_SP7_NO!$E$21</f>
        <v>0</v>
      </c>
      <c r="D22" s="150">
        <f>[3]STA_SP7_NO!$E$21</f>
        <v>725</v>
      </c>
      <c r="E22" s="149">
        <f>[4]STA_SP7_NO!$E$21</f>
        <v>0</v>
      </c>
      <c r="F22" s="149">
        <f>[5]STA_SP7_NO!$E$21</f>
        <v>0</v>
      </c>
      <c r="G22" s="149">
        <f>[6]STA_SP7_NO!$E$21</f>
        <v>0</v>
      </c>
      <c r="H22" s="149">
        <f>[7]STA_SP7_NO!$E$21</f>
        <v>0</v>
      </c>
      <c r="I22" s="149">
        <f>[8]STA_SP7_NO!$E$21</f>
        <v>0</v>
      </c>
      <c r="J22" s="149">
        <f>[9]STA_SP7_NO!$E$21</f>
        <v>0</v>
      </c>
      <c r="K22" s="149">
        <f>[10]STA_SP7_NO!$E$21</f>
        <v>0</v>
      </c>
      <c r="L22" s="291">
        <f>[11]STA_SP7_NO!$E$21</f>
        <v>0</v>
      </c>
      <c r="M22" s="149">
        <f>SUM(B22:L22)</f>
        <v>725</v>
      </c>
    </row>
    <row r="23" spans="1:13" x14ac:dyDescent="0.25">
      <c r="A23" s="123" t="s">
        <v>74</v>
      </c>
      <c r="B23" s="75"/>
      <c r="C23" s="75"/>
      <c r="D23" s="76"/>
      <c r="E23" s="75"/>
      <c r="F23" s="75"/>
      <c r="G23" s="75"/>
      <c r="H23" s="75"/>
      <c r="I23" s="76"/>
      <c r="J23" s="75"/>
      <c r="K23" s="75"/>
      <c r="L23" s="76"/>
      <c r="M23" s="75"/>
    </row>
    <row r="24" spans="1:13" x14ac:dyDescent="0.25">
      <c r="A24" s="124" t="s">
        <v>75</v>
      </c>
      <c r="B24" s="149">
        <f>[1]STA_SP7_NO!$C$22</f>
        <v>2529</v>
      </c>
      <c r="C24" s="149">
        <f>[2]STA_SP7_NO!$C$22</f>
        <v>5960</v>
      </c>
      <c r="D24" s="150">
        <f>[3]STA_SP7_NO!$C$22</f>
        <v>1445</v>
      </c>
      <c r="E24" s="149">
        <f>[4]STA_SP7_NO!$C$22</f>
        <v>24880</v>
      </c>
      <c r="F24" s="149">
        <f>[5]STA_SP7_NO!$C$22</f>
        <v>0</v>
      </c>
      <c r="G24" s="149">
        <f>[6]STA_SP7_NO!$C$22</f>
        <v>0</v>
      </c>
      <c r="H24" s="149">
        <f>[7]STA_SP7_NO!$C$22</f>
        <v>10</v>
      </c>
      <c r="I24" s="149">
        <f>[8]STA_SP7_NO!$C$22</f>
        <v>678</v>
      </c>
      <c r="J24" s="149">
        <f>[9]STA_SP7_NO!$C$22</f>
        <v>24188</v>
      </c>
      <c r="K24" s="149">
        <f>[10]STA_SP7_NO!$C$22</f>
        <v>34922</v>
      </c>
      <c r="L24" s="291">
        <f>[11]STA_SP7_NO!$C$22</f>
        <v>0</v>
      </c>
      <c r="M24" s="149">
        <f>SUM(B24:L24)</f>
        <v>94612</v>
      </c>
    </row>
    <row r="25" spans="1:13" x14ac:dyDescent="0.25">
      <c r="A25" s="124" t="s">
        <v>76</v>
      </c>
      <c r="B25" s="149">
        <f>[1]STA_SP7_NO!$D$22</f>
        <v>36928.050000000003</v>
      </c>
      <c r="C25" s="149">
        <f>[2]STA_SP7_NO!$D$22</f>
        <v>6959.94</v>
      </c>
      <c r="D25" s="150">
        <f>[3]STA_SP7_NO!$D$22</f>
        <v>3815</v>
      </c>
      <c r="E25" s="149">
        <f>[4]STA_SP7_NO!$D$22</f>
        <v>35633.279999999999</v>
      </c>
      <c r="F25" s="149">
        <f>[5]STA_SP7_NO!$D$22</f>
        <v>0</v>
      </c>
      <c r="G25" s="149">
        <f>[6]STA_SP7_NO!$D$22</f>
        <v>0</v>
      </c>
      <c r="H25" s="149">
        <f>[7]STA_SP7_NO!$D$22</f>
        <v>65</v>
      </c>
      <c r="I25" s="149">
        <f>[8]STA_SP7_NO!$D$22</f>
        <v>1505</v>
      </c>
      <c r="J25" s="149">
        <f>[9]STA_SP7_NO!$D$22</f>
        <v>287056.32</v>
      </c>
      <c r="K25" s="149">
        <f>[10]STA_SP7_NO!$D$22</f>
        <v>56859</v>
      </c>
      <c r="L25" s="291">
        <f>[11]STA_SP7_NO!$D$22</f>
        <v>0</v>
      </c>
      <c r="M25" s="149">
        <f>SUM(B25:L25)</f>
        <v>428821.59</v>
      </c>
    </row>
    <row r="26" spans="1:13" x14ac:dyDescent="0.25">
      <c r="A26" s="124" t="s">
        <v>57</v>
      </c>
      <c r="B26" s="149">
        <f>[1]STA_SP7_NO!$E$22</f>
        <v>7723.73</v>
      </c>
      <c r="C26" s="149">
        <f>[2]STA_SP7_NO!$E$22</f>
        <v>1651.94</v>
      </c>
      <c r="D26" s="150">
        <f>[3]STA_SP7_NO!$E$22</f>
        <v>1064</v>
      </c>
      <c r="E26" s="149">
        <f>[4]STA_SP7_NO!$E$22</f>
        <v>10917.31</v>
      </c>
      <c r="F26" s="149">
        <f>[5]STA_SP7_NO!$E$22</f>
        <v>0</v>
      </c>
      <c r="G26" s="149">
        <f>[6]STA_SP7_NO!$E$22</f>
        <v>0</v>
      </c>
      <c r="H26" s="149">
        <f>[7]STA_SP7_NO!$E$22</f>
        <v>0</v>
      </c>
      <c r="I26" s="149">
        <f>[8]STA_SP7_NO!$E$22</f>
        <v>0</v>
      </c>
      <c r="J26" s="149">
        <f>[9]STA_SP7_NO!$E$22</f>
        <v>33957</v>
      </c>
      <c r="K26" s="149">
        <f>[10]STA_SP7_NO!$E$22</f>
        <v>21485</v>
      </c>
      <c r="L26" s="291">
        <f>[11]STA_SP7_NO!$E$22</f>
        <v>0</v>
      </c>
      <c r="M26" s="149">
        <f>SUM(B26:L26)</f>
        <v>76798.98</v>
      </c>
    </row>
    <row r="27" spans="1:13" x14ac:dyDescent="0.25">
      <c r="A27" s="123" t="s">
        <v>77</v>
      </c>
      <c r="B27" s="75"/>
      <c r="C27" s="75"/>
      <c r="D27" s="76"/>
      <c r="E27" s="75"/>
      <c r="F27" s="75"/>
      <c r="G27" s="75"/>
      <c r="H27" s="75"/>
      <c r="I27" s="76"/>
      <c r="J27" s="75"/>
      <c r="K27" s="75"/>
      <c r="L27" s="76"/>
      <c r="M27" s="75"/>
    </row>
    <row r="28" spans="1:13" x14ac:dyDescent="0.25">
      <c r="A28" s="124" t="s">
        <v>75</v>
      </c>
      <c r="B28" s="149">
        <f>[1]STA_SP7_NO!$C$29</f>
        <v>56602</v>
      </c>
      <c r="C28" s="149">
        <f>[2]STA_SP7_NO!$C$29</f>
        <v>4844</v>
      </c>
      <c r="D28" s="150">
        <f>[3]STA_SP7_NO!$C$29</f>
        <v>4414</v>
      </c>
      <c r="E28" s="149">
        <f>[4]STA_SP7_NO!$C$29</f>
        <v>20059</v>
      </c>
      <c r="F28" s="149">
        <f>[5]STA_SP7_NO!$C$29</f>
        <v>2647</v>
      </c>
      <c r="G28" s="149">
        <f>[6]STA_SP7_NO!$C$29</f>
        <v>25921</v>
      </c>
      <c r="H28" s="149">
        <f>[7]STA_SP7_NO!$C$29</f>
        <v>52302</v>
      </c>
      <c r="I28" s="149">
        <f>[8]STA_SP7_NO!$C$29</f>
        <v>6407</v>
      </c>
      <c r="J28" s="149">
        <f>[9]STA_SP7_NO!$C$29</f>
        <v>37017</v>
      </c>
      <c r="K28" s="149">
        <f>[10]STA_SP7_NO!$C$29</f>
        <v>4138</v>
      </c>
      <c r="L28" s="291">
        <f>[11]STA_SP7_NO!$C$29</f>
        <v>0</v>
      </c>
      <c r="M28" s="149">
        <f>SUM(B28:L28)</f>
        <v>214351</v>
      </c>
    </row>
    <row r="29" spans="1:13" x14ac:dyDescent="0.25">
      <c r="A29" s="124" t="s">
        <v>76</v>
      </c>
      <c r="B29" s="149">
        <f>[1]STA_SP7_NO!$D$29</f>
        <v>365149.78</v>
      </c>
      <c r="C29" s="149">
        <f>[2]STA_SP7_NO!$D$29</f>
        <v>26392.59</v>
      </c>
      <c r="D29" s="150">
        <f>[3]STA_SP7_NO!$D$29</f>
        <v>18679</v>
      </c>
      <c r="E29" s="149">
        <f>[4]STA_SP7_NO!$D$29</f>
        <v>143034.57999999999</v>
      </c>
      <c r="F29" s="149">
        <f>[5]STA_SP7_NO!$D$29</f>
        <v>23474.29</v>
      </c>
      <c r="G29" s="149">
        <f>[6]STA_SP7_NO!$D$29</f>
        <v>138676</v>
      </c>
      <c r="H29" s="149">
        <f>[7]STA_SP7_NO!$D$29</f>
        <v>333264</v>
      </c>
      <c r="I29" s="149">
        <f>[8]STA_SP7_NO!$D$29</f>
        <v>37331</v>
      </c>
      <c r="J29" s="149">
        <f>[9]STA_SP7_NO!$D$29</f>
        <v>246592.61</v>
      </c>
      <c r="K29" s="149">
        <f>[10]STA_SP7_NO!$D$29</f>
        <v>59909</v>
      </c>
      <c r="L29" s="291">
        <f>[11]STA_SP7_NO!$D$29</f>
        <v>0</v>
      </c>
      <c r="M29" s="149">
        <f>SUM(B29:L29)</f>
        <v>1392502.85</v>
      </c>
    </row>
    <row r="30" spans="1:13" x14ac:dyDescent="0.25">
      <c r="A30" s="124" t="s">
        <v>57</v>
      </c>
      <c r="B30" s="149">
        <f>[1]STA_SP7_NO!$E$29</f>
        <v>100313.64</v>
      </c>
      <c r="C30" s="149">
        <f>[2]STA_SP7_NO!$E$29</f>
        <v>4395.17</v>
      </c>
      <c r="D30" s="150">
        <f>[3]STA_SP7_NO!$E$29</f>
        <v>3523</v>
      </c>
      <c r="E30" s="149">
        <f>[4]STA_SP7_NO!$E$29</f>
        <v>28450.77</v>
      </c>
      <c r="F30" s="149">
        <f>[5]STA_SP7_NO!$E$29</f>
        <v>6320</v>
      </c>
      <c r="G30" s="149">
        <f>[6]STA_SP7_NO!$E$29</f>
        <v>50461</v>
      </c>
      <c r="H30" s="149">
        <f>[7]STA_SP7_NO!$E$29</f>
        <v>86909</v>
      </c>
      <c r="I30" s="149">
        <f>[8]STA_SP7_NO!$E$29</f>
        <v>7783.85</v>
      </c>
      <c r="J30" s="149">
        <f>[9]STA_SP7_NO!$E$29</f>
        <v>874</v>
      </c>
      <c r="K30" s="149">
        <f>[10]STA_SP7_NO!$E$29</f>
        <v>37640</v>
      </c>
      <c r="L30" s="291">
        <f>[11]STA_SP7_NO!$E$29</f>
        <v>31.25</v>
      </c>
      <c r="M30" s="149">
        <f>SUM(B30:L30)</f>
        <v>326701.67999999993</v>
      </c>
    </row>
    <row r="31" spans="1:13" ht="12" customHeight="1" x14ac:dyDescent="0.25">
      <c r="A31" s="123" t="s">
        <v>78</v>
      </c>
      <c r="B31" s="123"/>
      <c r="C31" s="75"/>
      <c r="D31" s="76"/>
      <c r="E31" s="75"/>
      <c r="F31" s="75"/>
      <c r="G31" s="75"/>
      <c r="H31" s="75"/>
      <c r="I31" s="76"/>
      <c r="J31" s="75"/>
      <c r="K31" s="75"/>
      <c r="L31" s="76"/>
      <c r="M31" s="75"/>
    </row>
    <row r="32" spans="1:13" x14ac:dyDescent="0.25">
      <c r="A32" s="124" t="s">
        <v>75</v>
      </c>
      <c r="B32" s="149">
        <f>[1]STA_SP7_NO!$C$38</f>
        <v>0</v>
      </c>
      <c r="C32" s="149">
        <f>[2]STA_SP7_NO!$C$38</f>
        <v>0</v>
      </c>
      <c r="D32" s="150">
        <f>[3]STA_SP7_NO!$C$38</f>
        <v>24757</v>
      </c>
      <c r="E32" s="149">
        <f>[4]STA_SP7_NO!$C$38</f>
        <v>18712</v>
      </c>
      <c r="F32" s="149">
        <f>[5]STA_SP7_NO!$C$38</f>
        <v>13</v>
      </c>
      <c r="G32" s="149">
        <f>[6]STA_SP7_NO!$C$38</f>
        <v>0</v>
      </c>
      <c r="H32" s="149">
        <f>[7]STA_SP7_NO!$C$38</f>
        <v>0</v>
      </c>
      <c r="I32" s="149">
        <f>[8]STA_SP7_NO!$C$38</f>
        <v>0</v>
      </c>
      <c r="J32" s="149">
        <f>[9]STA_SP7_NO!$C$38</f>
        <v>0</v>
      </c>
      <c r="K32" s="149">
        <f>[10]STA_SP7_NO!$C$38</f>
        <v>647</v>
      </c>
      <c r="L32" s="291">
        <f>[11]STA_SP7_NO!$C$38</f>
        <v>0</v>
      </c>
      <c r="M32" s="149">
        <f>SUM(B32:L32)</f>
        <v>44129</v>
      </c>
    </row>
    <row r="33" spans="1:13" ht="12.75" customHeight="1" x14ac:dyDescent="0.25">
      <c r="A33" s="124" t="s">
        <v>76</v>
      </c>
      <c r="B33" s="149">
        <f>[1]STA_SP7_NO!$D$38</f>
        <v>0</v>
      </c>
      <c r="C33" s="149">
        <f>[2]STA_SP7_NO!$D$38</f>
        <v>0</v>
      </c>
      <c r="D33" s="150">
        <f>[3]STA_SP7_NO!$D$38</f>
        <v>130859</v>
      </c>
      <c r="E33" s="149">
        <f>[4]STA_SP7_NO!$D$38</f>
        <v>13207.78</v>
      </c>
      <c r="F33" s="149">
        <f>[5]STA_SP7_NO!$D$38</f>
        <v>98</v>
      </c>
      <c r="G33" s="149">
        <f>[6]STA_SP7_NO!$D$38</f>
        <v>0</v>
      </c>
      <c r="H33" s="149">
        <f>[7]STA_SP7_NO!$D$38</f>
        <v>0</v>
      </c>
      <c r="I33" s="149">
        <f>[8]STA_SP7_NO!$D$38</f>
        <v>0</v>
      </c>
      <c r="J33" s="149">
        <f>[9]STA_SP7_NO!$D$38</f>
        <v>0</v>
      </c>
      <c r="K33" s="149">
        <f>[10]STA_SP7_NO!$D$38</f>
        <v>10969</v>
      </c>
      <c r="L33" s="291">
        <f>[11]STA_SP7_NO!$D$38</f>
        <v>0</v>
      </c>
      <c r="M33" s="149">
        <f>SUM(B33:L33)</f>
        <v>155133.78</v>
      </c>
    </row>
    <row r="34" spans="1:13" ht="15.75" thickBot="1" x14ac:dyDescent="0.3">
      <c r="A34" s="125" t="s">
        <v>57</v>
      </c>
      <c r="B34" s="207">
        <f>[1]STA_SP7_NO!$E$38</f>
        <v>0</v>
      </c>
      <c r="C34" s="207">
        <f>[2]STA_SP7_NO!$E$38</f>
        <v>0</v>
      </c>
      <c r="D34" s="208">
        <f>[3]STA_SP7_NO!$E$38</f>
        <v>31348</v>
      </c>
      <c r="E34" s="116">
        <f>[4]STA_SP7_NO!$E$38</f>
        <v>969.24</v>
      </c>
      <c r="F34" s="116">
        <f>[5]STA_SP7_NO!$E$38</f>
        <v>0</v>
      </c>
      <c r="G34" s="116">
        <f>[6]STA_SP7_NO!$E$38</f>
        <v>0</v>
      </c>
      <c r="H34" s="116">
        <f>[7]STA_SP7_NO!$E$38</f>
        <v>0</v>
      </c>
      <c r="I34" s="116">
        <f>[8]STA_SP7_NO!$E$38</f>
        <v>0</v>
      </c>
      <c r="J34" s="207">
        <f>[9]STA_SP7_NO!$E$38</f>
        <v>0</v>
      </c>
      <c r="K34" s="116">
        <f>[10]STA_SP7_NO!$E$38</f>
        <v>2837</v>
      </c>
      <c r="L34" s="292">
        <f>[11]STA_SP7_NO!$E$38</f>
        <v>0</v>
      </c>
      <c r="M34" s="116">
        <f>SUM(B34:L34)</f>
        <v>35154.240000000005</v>
      </c>
    </row>
    <row r="37" spans="1:13" x14ac:dyDescent="0.25"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</row>
    <row r="38" spans="1:13" x14ac:dyDescent="0.25"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</row>
    <row r="39" spans="1:13" x14ac:dyDescent="0.25"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</row>
    <row r="40" spans="1:13" x14ac:dyDescent="0.25">
      <c r="L40" s="1"/>
      <c r="M40" s="198"/>
    </row>
    <row r="41" spans="1:13" x14ac:dyDescent="0.25"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</row>
    <row r="42" spans="1:13" x14ac:dyDescent="0.25"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</row>
    <row r="45" spans="1:13" x14ac:dyDescent="0.25"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</row>
  </sheetData>
  <pageMargins left="0.25" right="0.25" top="0.75" bottom="0.75" header="0.3" footer="0.3"/>
  <pageSetup paperSize="9" scale="7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M16" sqref="M16"/>
    </sheetView>
  </sheetViews>
  <sheetFormatPr defaultRowHeight="15" x14ac:dyDescent="0.25"/>
  <cols>
    <col min="1" max="1" width="7" customWidth="1"/>
    <col min="2" max="2" width="16.5703125" customWidth="1"/>
    <col min="3" max="3" width="13.42578125" customWidth="1"/>
    <col min="4" max="4" width="11.28515625" customWidth="1"/>
    <col min="5" max="6" width="14.28515625" customWidth="1"/>
    <col min="7" max="7" width="12.28515625" customWidth="1"/>
    <col min="8" max="8" width="12.42578125" customWidth="1"/>
    <col min="9" max="10" width="11.42578125" customWidth="1"/>
    <col min="11" max="11" width="11.140625" customWidth="1"/>
  </cols>
  <sheetData>
    <row r="1" spans="1:1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x14ac:dyDescent="0.25">
      <c r="A2" s="164"/>
      <c r="B2" s="583" t="s">
        <v>119</v>
      </c>
      <c r="C2" s="583"/>
      <c r="D2" s="583"/>
      <c r="E2" s="583"/>
      <c r="F2" s="583"/>
      <c r="G2" s="584"/>
      <c r="H2" s="584"/>
      <c r="I2" s="94"/>
      <c r="J2" s="94"/>
      <c r="K2" s="94"/>
    </row>
    <row r="3" spans="1:11" ht="15.75" thickBot="1" x14ac:dyDescent="0.3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55" t="s">
        <v>91</v>
      </c>
    </row>
    <row r="4" spans="1:11" ht="15.75" thickBot="1" x14ac:dyDescent="0.3">
      <c r="A4" s="505" t="s">
        <v>81</v>
      </c>
      <c r="B4" s="505" t="s">
        <v>56</v>
      </c>
      <c r="C4" s="505" t="s">
        <v>82</v>
      </c>
      <c r="D4" s="505" t="s">
        <v>83</v>
      </c>
      <c r="E4" s="585" t="s">
        <v>84</v>
      </c>
      <c r="F4" s="586"/>
      <c r="G4" s="587"/>
      <c r="H4" s="505" t="s">
        <v>85</v>
      </c>
      <c r="I4" s="505" t="s">
        <v>79</v>
      </c>
      <c r="J4" s="505" t="s">
        <v>86</v>
      </c>
      <c r="K4" s="505" t="s">
        <v>3</v>
      </c>
    </row>
    <row r="5" spans="1:11" ht="47.25" customHeight="1" thickBot="1" x14ac:dyDescent="0.3">
      <c r="A5" s="506"/>
      <c r="B5" s="506"/>
      <c r="C5" s="506"/>
      <c r="D5" s="506"/>
      <c r="E5" s="89" t="s">
        <v>58</v>
      </c>
      <c r="F5" s="89" t="s">
        <v>59</v>
      </c>
      <c r="G5" s="89" t="s">
        <v>87</v>
      </c>
      <c r="H5" s="506"/>
      <c r="I5" s="506"/>
      <c r="J5" s="506"/>
      <c r="K5" s="506"/>
    </row>
    <row r="6" spans="1:11" ht="15.75" thickBot="1" x14ac:dyDescent="0.3">
      <c r="A6" s="275"/>
      <c r="B6" s="276" t="s">
        <v>54</v>
      </c>
      <c r="C6" s="277">
        <f t="shared" ref="C6:K6" si="0">SUM(C7:C17)</f>
        <v>7783088.5999999996</v>
      </c>
      <c r="D6" s="278">
        <f t="shared" si="0"/>
        <v>117437.05</v>
      </c>
      <c r="E6" s="279">
        <f t="shared" si="0"/>
        <v>4040740.38</v>
      </c>
      <c r="F6" s="279">
        <f t="shared" si="0"/>
        <v>3155899.77</v>
      </c>
      <c r="G6" s="280">
        <f t="shared" si="0"/>
        <v>7415636.1500000004</v>
      </c>
      <c r="H6" s="278">
        <f t="shared" si="0"/>
        <v>0</v>
      </c>
      <c r="I6" s="278">
        <f t="shared" si="0"/>
        <v>0</v>
      </c>
      <c r="J6" s="278">
        <f t="shared" si="0"/>
        <v>63794.61</v>
      </c>
      <c r="K6" s="281">
        <f t="shared" si="0"/>
        <v>15379956.409999998</v>
      </c>
    </row>
    <row r="7" spans="1:11" x14ac:dyDescent="0.25">
      <c r="A7" s="90">
        <v>1</v>
      </c>
      <c r="B7" s="129" t="s">
        <v>68</v>
      </c>
      <c r="C7" s="136">
        <f>[1]STA_SP5_NO!$C$41+[1]STA_SP5_NO!$K$41</f>
        <v>1152938.9400000002</v>
      </c>
      <c r="D7" s="137">
        <f>[1]STA_SP5_NO!$D$41</f>
        <v>5303.32</v>
      </c>
      <c r="E7" s="136">
        <f>[1]STA_SP5_NO!$E$41</f>
        <v>907714.2</v>
      </c>
      <c r="F7" s="136">
        <f>[1]STA_SP5_NO!$G$41</f>
        <v>384636.42</v>
      </c>
      <c r="G7" s="137">
        <f>E7+F7+[1]STA_SP5_NO!$I$41</f>
        <v>1306566.46</v>
      </c>
      <c r="H7" s="136">
        <v>0</v>
      </c>
      <c r="I7" s="136">
        <v>0</v>
      </c>
      <c r="J7" s="136">
        <f>[1]STA_SP5_NO!$M$41</f>
        <v>0</v>
      </c>
      <c r="K7" s="137">
        <f>C7+D7+G7+J7</f>
        <v>2464808.7200000002</v>
      </c>
    </row>
    <row r="8" spans="1:11" x14ac:dyDescent="0.25">
      <c r="A8" s="88">
        <v>2</v>
      </c>
      <c r="B8" s="93" t="s">
        <v>4</v>
      </c>
      <c r="C8" s="138">
        <f>[2]STA_SP5_NO!$C$41+[2]STA_SP5_NO!$K$41</f>
        <v>779212.64999999991</v>
      </c>
      <c r="D8" s="134">
        <f>[2]STA_SP5_NO!$D$41</f>
        <v>73187.679999999993</v>
      </c>
      <c r="E8" s="134">
        <f>[2]STA_SP5_NO!$E$41</f>
        <v>907875.61</v>
      </c>
      <c r="F8" s="134">
        <f>[2]STA_SP5_NO!$G$41</f>
        <v>279339.96000000002</v>
      </c>
      <c r="G8" s="138">
        <f>E8+F8+[2]STA_SP5_NO!$I$41</f>
        <v>1273282.81</v>
      </c>
      <c r="H8" s="138">
        <v>0</v>
      </c>
      <c r="I8" s="138">
        <v>0</v>
      </c>
      <c r="J8" s="138">
        <f>[2]STA_SP5_NO!$M$41</f>
        <v>0</v>
      </c>
      <c r="K8" s="174">
        <f>C8+D8+G8+J8</f>
        <v>2125683.1399999997</v>
      </c>
    </row>
    <row r="9" spans="1:11" x14ac:dyDescent="0.25">
      <c r="A9" s="91">
        <v>3</v>
      </c>
      <c r="B9" s="130" t="s">
        <v>5</v>
      </c>
      <c r="C9" s="133">
        <f>[3]STA_SP5_NO!$C$41+[3]STA_SP5_NO!$K$41</f>
        <v>291033</v>
      </c>
      <c r="D9" s="133">
        <f>[3]STA_SP5_NO!$D$41</f>
        <v>1369</v>
      </c>
      <c r="E9" s="133">
        <f>[3]STA_SP5_NO!$E$41</f>
        <v>177155</v>
      </c>
      <c r="F9" s="133">
        <f>[3]STA_SP5_NO!$G$41</f>
        <v>257800</v>
      </c>
      <c r="G9" s="141">
        <f>E9+F9+[3]STA_SP5_NO!$I$41</f>
        <v>465168</v>
      </c>
      <c r="H9" s="133">
        <v>0</v>
      </c>
      <c r="I9" s="133">
        <v>0</v>
      </c>
      <c r="J9" s="141">
        <f>[3]STA_SP5_NO!$M$41</f>
        <v>23000</v>
      </c>
      <c r="K9" s="137">
        <f>C9+D9+G9+J9</f>
        <v>780570</v>
      </c>
    </row>
    <row r="10" spans="1:11" x14ac:dyDescent="0.25">
      <c r="A10" s="88">
        <v>4</v>
      </c>
      <c r="B10" s="93" t="s">
        <v>6</v>
      </c>
      <c r="C10" s="134">
        <f>[4]STA_SP5_NO!$C$41+[4]STA_SP5_NO!$K$41</f>
        <v>795900.02</v>
      </c>
      <c r="D10" s="134">
        <f>[4]STA_SP5_NO!$D$41</f>
        <v>10997.61</v>
      </c>
      <c r="E10" s="134">
        <f>[4]STA_SP5_NO!$E$41</f>
        <v>375150.3</v>
      </c>
      <c r="F10" s="134">
        <f>[4]STA_SP5_NO!$G$41</f>
        <v>262214.51</v>
      </c>
      <c r="G10" s="138">
        <f>E10+F10+[4]STA_SP5_NO!$I$41</f>
        <v>657760.51</v>
      </c>
      <c r="H10" s="134">
        <v>0</v>
      </c>
      <c r="I10" s="134">
        <v>0</v>
      </c>
      <c r="J10" s="138">
        <f>[4]STA_SP5_NO!$M$41</f>
        <v>0</v>
      </c>
      <c r="K10" s="174">
        <f t="shared" ref="K10" si="1">C10+D10+G10+J10</f>
        <v>1464658.1400000001</v>
      </c>
    </row>
    <row r="11" spans="1:11" x14ac:dyDescent="0.25">
      <c r="A11" s="90">
        <v>5</v>
      </c>
      <c r="B11" s="93" t="s">
        <v>8</v>
      </c>
      <c r="C11" s="134">
        <f>[5]STA_SP5_NO!$C$41+[5]STA_SP5_NO!$K$41</f>
        <v>1329033</v>
      </c>
      <c r="D11" s="134">
        <f>[5]STA_SP5_NO!$D$41</f>
        <v>8643</v>
      </c>
      <c r="E11" s="134">
        <f>[5]STA_SP5_NO!$E$41</f>
        <v>359464.23</v>
      </c>
      <c r="F11" s="134">
        <f>[5]STA_SP5_NO!$G$41</f>
        <v>332067</v>
      </c>
      <c r="G11" s="138">
        <f>E11+F11+[5]STA_SP5_NO!$I$41</f>
        <v>700819.2</v>
      </c>
      <c r="H11" s="134">
        <v>0</v>
      </c>
      <c r="I11" s="134">
        <v>0</v>
      </c>
      <c r="J11" s="138">
        <f>[5]STA_SP5_NO!$M$41</f>
        <v>0</v>
      </c>
      <c r="K11" s="174">
        <f t="shared" ref="K11:K17" si="2">C11+D11+G11+J11</f>
        <v>2038495.2</v>
      </c>
    </row>
    <row r="12" spans="1:11" x14ac:dyDescent="0.25">
      <c r="A12" s="88">
        <v>6</v>
      </c>
      <c r="B12" s="130" t="s">
        <v>93</v>
      </c>
      <c r="C12" s="133">
        <f>[6]STA_SP5_NO!$C$41+[6]STA_SP5_NO!$K$41</f>
        <v>396051.09</v>
      </c>
      <c r="D12" s="133">
        <f>[6]STA_SP5_NO!$D$41</f>
        <v>0</v>
      </c>
      <c r="E12" s="133">
        <f>[6]STA_SP5_NO!$E$41</f>
        <v>194462.2</v>
      </c>
      <c r="F12" s="133">
        <f>[6]STA_SP5_NO!$G$41</f>
        <v>181677.49</v>
      </c>
      <c r="G12" s="141">
        <f>E12+F12+[6]STA_SP5_NO!$I$41</f>
        <v>378812.5</v>
      </c>
      <c r="H12" s="133">
        <v>0</v>
      </c>
      <c r="I12" s="133">
        <v>0</v>
      </c>
      <c r="J12" s="141">
        <f>[6]STA_SP5_NO!$M$41</f>
        <v>0</v>
      </c>
      <c r="K12" s="137">
        <f t="shared" si="2"/>
        <v>774863.59000000008</v>
      </c>
    </row>
    <row r="13" spans="1:11" x14ac:dyDescent="0.25">
      <c r="A13" s="91">
        <v>7</v>
      </c>
      <c r="B13" s="93" t="s">
        <v>96</v>
      </c>
      <c r="C13" s="134">
        <f>[7]STA_SP5_NO!$C$41+[7]STA_SP5_NO!$K$41</f>
        <v>934520</v>
      </c>
      <c r="D13" s="134">
        <f>[7]STA_SP5_NO!$D$41</f>
        <v>0</v>
      </c>
      <c r="E13" s="134">
        <f>[7]STA_SP5_NO!$E$41</f>
        <v>295368</v>
      </c>
      <c r="F13" s="134">
        <f>[7]STA_SP5_NO!$G$41</f>
        <v>372763</v>
      </c>
      <c r="G13" s="138">
        <f>E13+F13+[7]STA_SP5_NO!$I$41</f>
        <v>679489</v>
      </c>
      <c r="H13" s="134">
        <v>0</v>
      </c>
      <c r="I13" s="134">
        <v>0</v>
      </c>
      <c r="J13" s="138">
        <f>[7]STA_SP5_NO!$M$41</f>
        <v>0</v>
      </c>
      <c r="K13" s="174">
        <f t="shared" si="2"/>
        <v>1614009</v>
      </c>
    </row>
    <row r="14" spans="1:11" x14ac:dyDescent="0.25">
      <c r="A14" s="88">
        <v>8</v>
      </c>
      <c r="B14" s="130" t="s">
        <v>37</v>
      </c>
      <c r="C14" s="133">
        <f>[8]STA_SP5_NO!$C$41+[8]STA_SP5_NO!$K$41</f>
        <v>502277.65</v>
      </c>
      <c r="D14" s="133">
        <f>[8]STA_SP5_NO!$D$41</f>
        <v>3006.57</v>
      </c>
      <c r="E14" s="133">
        <f>[8]STA_SP5_NO!$E$41</f>
        <v>221491</v>
      </c>
      <c r="F14" s="133">
        <f>[8]STA_SP5_NO!$G$41</f>
        <v>314103.40000000002</v>
      </c>
      <c r="G14" s="141">
        <f>E14+F14+[8]STA_SP5_NO!$I$41</f>
        <v>545256.65</v>
      </c>
      <c r="H14" s="133">
        <v>0</v>
      </c>
      <c r="I14" s="133">
        <v>0</v>
      </c>
      <c r="J14" s="141">
        <f>[8]STA_SP5_NO!$M$41</f>
        <v>40794.61</v>
      </c>
      <c r="K14" s="137">
        <f t="shared" si="2"/>
        <v>1091335.4800000002</v>
      </c>
    </row>
    <row r="15" spans="1:11" x14ac:dyDescent="0.25">
      <c r="A15" s="90">
        <v>9</v>
      </c>
      <c r="B15" s="93" t="s">
        <v>92</v>
      </c>
      <c r="C15" s="138">
        <f>[9]STA_SP5_NO!$C$41+[9]STA_SP5_NO!$K$41</f>
        <v>777295.23</v>
      </c>
      <c r="D15" s="138">
        <f>[9]STA_SP5_NO!$D$41</f>
        <v>2880.87</v>
      </c>
      <c r="E15" s="138">
        <f>[9]STA_SP5_NO!$E$41</f>
        <v>250811.61</v>
      </c>
      <c r="F15" s="138">
        <f>[9]STA_SP5_NO!$G$41</f>
        <v>258751.44</v>
      </c>
      <c r="G15" s="138">
        <f>E15+F15+[9]STA_SP5_NO!$I$41</f>
        <v>524139.26</v>
      </c>
      <c r="H15" s="134">
        <v>0</v>
      </c>
      <c r="I15" s="134">
        <v>0</v>
      </c>
      <c r="J15" s="138">
        <f>[9]STA_SP5_NO!$M$41</f>
        <v>0</v>
      </c>
      <c r="K15" s="174">
        <f t="shared" si="2"/>
        <v>1304315.3599999999</v>
      </c>
    </row>
    <row r="16" spans="1:11" x14ac:dyDescent="0.25">
      <c r="A16" s="88">
        <v>10</v>
      </c>
      <c r="B16" s="131" t="s">
        <v>10</v>
      </c>
      <c r="C16" s="140">
        <f>[10]STA_SP5_NO!$C$41+[10]STA_SP5_NO!$K$41</f>
        <v>820163</v>
      </c>
      <c r="D16" s="139">
        <f>[10]STA_SP5_NO!$D$41</f>
        <v>12049</v>
      </c>
      <c r="E16" s="140">
        <f>[10]STA_SP5_NO!$E$41</f>
        <v>335592</v>
      </c>
      <c r="F16" s="140">
        <f>[10]STA_SP5_NO!$G$41</f>
        <v>480407</v>
      </c>
      <c r="G16" s="139">
        <f>E16+F16+[10]STA_SP5_NO!$I$41</f>
        <v>836307</v>
      </c>
      <c r="H16" s="140">
        <v>0</v>
      </c>
      <c r="I16" s="140">
        <v>0</v>
      </c>
      <c r="J16" s="139">
        <f>[10]STA_SP5_NO!$M$41</f>
        <v>0</v>
      </c>
      <c r="K16" s="219">
        <f t="shared" si="2"/>
        <v>1668519</v>
      </c>
    </row>
    <row r="17" spans="1:11" s="1" customFormat="1" ht="15.75" thickBot="1" x14ac:dyDescent="0.3">
      <c r="A17" s="91">
        <v>11</v>
      </c>
      <c r="B17" s="287" t="s">
        <v>95</v>
      </c>
      <c r="C17" s="288">
        <f>[11]STA_SP5_NO!$C$41+[11]STA_SP5_NO!$K$41</f>
        <v>4664.0200000000004</v>
      </c>
      <c r="D17" s="289">
        <f>[11]STA_SP5_NO!$D$41</f>
        <v>0</v>
      </c>
      <c r="E17" s="288">
        <f>[11]STA_SP5_NO!$E$41</f>
        <v>15656.23</v>
      </c>
      <c r="F17" s="288">
        <f>[11]STA_SP5_NO!$G$41</f>
        <v>32139.55</v>
      </c>
      <c r="G17" s="289">
        <f>E17+F17+[11]STA_SP5_NO!$I$41</f>
        <v>48034.76</v>
      </c>
      <c r="H17" s="288">
        <v>0</v>
      </c>
      <c r="I17" s="288">
        <v>0</v>
      </c>
      <c r="J17" s="289">
        <f>[11]STA_SP5_NO!$M$41</f>
        <v>0</v>
      </c>
      <c r="K17" s="289">
        <f t="shared" si="2"/>
        <v>52698.78</v>
      </c>
    </row>
    <row r="18" spans="1:11" ht="15.75" thickBot="1" x14ac:dyDescent="0.3">
      <c r="A18" s="275"/>
      <c r="B18" s="276" t="s">
        <v>55</v>
      </c>
      <c r="C18" s="282">
        <f>SUM(C19:C24)</f>
        <v>51974.52</v>
      </c>
      <c r="D18" s="283">
        <f>SUM(D19:D24)</f>
        <v>114578</v>
      </c>
      <c r="E18" s="283">
        <f>SUM(E19:E24)</f>
        <v>84804.96</v>
      </c>
      <c r="F18" s="283">
        <f>SUM(F19:F24)</f>
        <v>33266.79</v>
      </c>
      <c r="G18" s="284">
        <f>G19+G20+G21+G22+G23+G24</f>
        <v>125408.31</v>
      </c>
      <c r="H18" s="283">
        <f>SUM(H19:H24)</f>
        <v>0</v>
      </c>
      <c r="I18" s="283">
        <f>SUM(I19:I24)</f>
        <v>12796401.039999999</v>
      </c>
      <c r="J18" s="283">
        <f>SUM(J19:J24)</f>
        <v>0</v>
      </c>
      <c r="K18" s="284">
        <f>SUM(K19:K24)</f>
        <v>13088361.870000001</v>
      </c>
    </row>
    <row r="19" spans="1:11" x14ac:dyDescent="0.25">
      <c r="A19" s="91">
        <v>1</v>
      </c>
      <c r="B19" s="130" t="s">
        <v>10</v>
      </c>
      <c r="C19" s="98">
        <f>[12]STA_SP4_ZO!$C$51</f>
        <v>20082</v>
      </c>
      <c r="D19" s="98">
        <f>[12]STA_SP4_ZO!$F$51</f>
        <v>0</v>
      </c>
      <c r="E19" s="98">
        <f>[12]STA_SP4_ZO!$G$51</f>
        <v>20335</v>
      </c>
      <c r="F19" s="204">
        <f>[12]STA_SP4_ZO!$H$51</f>
        <v>7324</v>
      </c>
      <c r="G19" s="141">
        <f>E19+F19+[12]STA_SP4_ZO!$J$51</f>
        <v>28761</v>
      </c>
      <c r="H19" s="133">
        <v>0</v>
      </c>
      <c r="I19" s="141">
        <f>[12]STA_SP4_ZO!$D$51+[12]STA_SP4_ZO!$E$51</f>
        <v>4279894</v>
      </c>
      <c r="J19" s="133">
        <v>0</v>
      </c>
      <c r="K19" s="137">
        <f t="shared" ref="K19:K24" si="3">C19+D19+G19+I19+J19</f>
        <v>4328737</v>
      </c>
    </row>
    <row r="20" spans="1:11" x14ac:dyDescent="0.25">
      <c r="A20" s="88">
        <v>2</v>
      </c>
      <c r="B20" s="93" t="s">
        <v>31</v>
      </c>
      <c r="C20" s="206">
        <f>[13]STA_SP4_ZO!$C$51</f>
        <v>12881</v>
      </c>
      <c r="D20" s="206">
        <f>[13]STA_SP4_ZO!$F$51</f>
        <v>114578</v>
      </c>
      <c r="E20" s="206">
        <f>[13]STA_SP4_ZO!$G$51</f>
        <v>40276</v>
      </c>
      <c r="F20" s="203">
        <f>[13]STA_SP4_ZO!$H$51</f>
        <v>9145</v>
      </c>
      <c r="G20" s="138">
        <f>[13]STA_SP4_ZO!$J$51+E20+F20</f>
        <v>49922</v>
      </c>
      <c r="H20" s="134">
        <v>0</v>
      </c>
      <c r="I20" s="134">
        <f>[13]STA_SP4_ZO!$D$51+[13]STA_SP4_ZO!$E$51</f>
        <v>3692540</v>
      </c>
      <c r="J20" s="134">
        <v>0</v>
      </c>
      <c r="K20" s="174">
        <f t="shared" si="3"/>
        <v>3869921</v>
      </c>
    </row>
    <row r="21" spans="1:11" x14ac:dyDescent="0.25">
      <c r="A21" s="91">
        <v>3</v>
      </c>
      <c r="B21" s="130" t="s">
        <v>7</v>
      </c>
      <c r="C21" s="133">
        <f>[14]STA_SP4_ZO!$C$51</f>
        <v>6245.32</v>
      </c>
      <c r="D21" s="133">
        <f>[14]STA_SP4_ZO!$F$51</f>
        <v>0</v>
      </c>
      <c r="E21" s="133">
        <f>[14]STA_SP4_ZO!$G$51</f>
        <v>10606.41</v>
      </c>
      <c r="F21" s="204">
        <f>[14]STA_SP4_ZO!$H$51</f>
        <v>12533.94</v>
      </c>
      <c r="G21" s="141">
        <f>[14]STA_SP4_ZO!$J$51+E21+F21</f>
        <v>27431.08</v>
      </c>
      <c r="H21" s="133">
        <v>0</v>
      </c>
      <c r="I21" s="141">
        <f>[14]STA_SP4_ZO!$D$51+[14]STA_SP4_ZO!$E$51</f>
        <v>2386713.17</v>
      </c>
      <c r="J21" s="133">
        <v>0</v>
      </c>
      <c r="K21" s="137">
        <f t="shared" si="3"/>
        <v>2420389.5699999998</v>
      </c>
    </row>
    <row r="22" spans="1:11" x14ac:dyDescent="0.25">
      <c r="A22" s="107">
        <v>4</v>
      </c>
      <c r="B22" s="132" t="s">
        <v>96</v>
      </c>
      <c r="C22" s="135">
        <f>[15]STA_SP4_ZO!$C$51</f>
        <v>10239</v>
      </c>
      <c r="D22" s="135">
        <f>[15]STA_SP4_ZO!$F$51</f>
        <v>0</v>
      </c>
      <c r="E22" s="135">
        <f>[15]STA_SP4_ZO!$G$51</f>
        <v>9285</v>
      </c>
      <c r="F22" s="205">
        <f>[15]STA_SP4_ZO!$H$51</f>
        <v>1986</v>
      </c>
      <c r="G22" s="199">
        <f>E22+F22+[15]STA_SP4_ZO!$J$51</f>
        <v>12400</v>
      </c>
      <c r="H22" s="135">
        <v>0</v>
      </c>
      <c r="I22" s="135">
        <f>[15]STA_SP4_ZO!$D$51+[15]STA_SP4_ZO!$E$51</f>
        <v>1081608</v>
      </c>
      <c r="J22" s="135">
        <v>0</v>
      </c>
      <c r="K22" s="174">
        <f t="shared" si="3"/>
        <v>1104247</v>
      </c>
    </row>
    <row r="23" spans="1:11" s="1" customFormat="1" x14ac:dyDescent="0.25">
      <c r="A23" s="92">
        <v>5</v>
      </c>
      <c r="B23" s="131" t="s">
        <v>4</v>
      </c>
      <c r="C23" s="140">
        <f>[16]STA_SP4_ZO!$C$51</f>
        <v>1106.24</v>
      </c>
      <c r="D23" s="217">
        <f>[16]STA_SP4_ZO!$F$51</f>
        <v>0</v>
      </c>
      <c r="E23" s="140">
        <f>[16]STA_SP4_ZO!$G$51</f>
        <v>4202.95</v>
      </c>
      <c r="F23" s="218">
        <f>[16]STA_SP4_ZO!$H$51</f>
        <v>1867.5</v>
      </c>
      <c r="G23" s="139">
        <f>E23+F23+[16]STA_SP4_ZO!$J$51</f>
        <v>6373.9699999999993</v>
      </c>
      <c r="H23" s="140">
        <v>0</v>
      </c>
      <c r="I23" s="140">
        <f>[16]STA_SP4_ZO!$D$51+[16]STA_SP4_ZO!$E$51</f>
        <v>1323004.44</v>
      </c>
      <c r="J23" s="140">
        <v>0</v>
      </c>
      <c r="K23" s="219">
        <f t="shared" si="3"/>
        <v>1330484.6499999999</v>
      </c>
    </row>
    <row r="24" spans="1:11" s="1" customFormat="1" x14ac:dyDescent="0.25">
      <c r="A24" s="221">
        <v>6</v>
      </c>
      <c r="B24" s="222" t="s">
        <v>94</v>
      </c>
      <c r="C24" s="223">
        <f>[17]STA_SP4_ZO!$C$51</f>
        <v>1420.96</v>
      </c>
      <c r="D24" s="223">
        <f>[17]STA_SP4_ZO!$F$51</f>
        <v>0</v>
      </c>
      <c r="E24" s="223">
        <f>[17]STA_SP4_ZO!$G$51</f>
        <v>99.6</v>
      </c>
      <c r="F24" s="223">
        <f>[17]STA_SP4_ZO!$H$51</f>
        <v>410.35</v>
      </c>
      <c r="G24" s="223">
        <f>E24+F24+[17]STA_SP4_ZO!$J$51</f>
        <v>520.26</v>
      </c>
      <c r="H24" s="220">
        <v>0</v>
      </c>
      <c r="I24" s="223">
        <f>[17]STA_SP4_ZO!$D$51+[17]STA_SP4_ZO!$E$51</f>
        <v>32641.43</v>
      </c>
      <c r="J24" s="224">
        <v>0</v>
      </c>
      <c r="K24" s="225">
        <f t="shared" si="3"/>
        <v>34582.65</v>
      </c>
    </row>
    <row r="25" spans="1:11" ht="15.75" thickBot="1" x14ac:dyDescent="0.3">
      <c r="A25" s="581" t="s">
        <v>29</v>
      </c>
      <c r="B25" s="582"/>
      <c r="C25" s="285">
        <f t="shared" ref="C25:K25" si="4">C6+C18</f>
        <v>7835063.1199999992</v>
      </c>
      <c r="D25" s="285">
        <f t="shared" si="4"/>
        <v>232015.05</v>
      </c>
      <c r="E25" s="285">
        <f t="shared" si="4"/>
        <v>4125545.34</v>
      </c>
      <c r="F25" s="285">
        <f t="shared" si="4"/>
        <v>3189166.56</v>
      </c>
      <c r="G25" s="286">
        <f t="shared" si="4"/>
        <v>7541044.46</v>
      </c>
      <c r="H25" s="285">
        <f t="shared" si="4"/>
        <v>0</v>
      </c>
      <c r="I25" s="285">
        <f t="shared" si="4"/>
        <v>12796401.039999999</v>
      </c>
      <c r="J25" s="285">
        <f t="shared" si="4"/>
        <v>63794.61</v>
      </c>
      <c r="K25" s="286">
        <f t="shared" si="4"/>
        <v>28468318.280000001</v>
      </c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11">
    <mergeCell ref="A25:B25"/>
    <mergeCell ref="I4:I5"/>
    <mergeCell ref="J4:J5"/>
    <mergeCell ref="K4:K5"/>
    <mergeCell ref="B2:H2"/>
    <mergeCell ref="A4:A5"/>
    <mergeCell ref="B4:B5"/>
    <mergeCell ref="C4:C5"/>
    <mergeCell ref="D4:D5"/>
    <mergeCell ref="E4:G4"/>
    <mergeCell ref="H4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R15" sqref="R15"/>
    </sheetView>
  </sheetViews>
  <sheetFormatPr defaultRowHeight="15" x14ac:dyDescent="0.25"/>
  <cols>
    <col min="1" max="1" width="4.28515625" customWidth="1"/>
    <col min="2" max="2" width="27.85546875" customWidth="1"/>
    <col min="3" max="3" width="11" bestFit="1" customWidth="1"/>
    <col min="8" max="8" width="10.42578125" customWidth="1"/>
    <col min="10" max="10" width="10.28515625" bestFit="1" customWidth="1"/>
  </cols>
  <sheetData>
    <row r="1" spans="1:14" ht="23.25" customHeight="1" thickBot="1" x14ac:dyDescent="0.3">
      <c r="A1" s="152"/>
      <c r="B1" s="152"/>
      <c r="C1" s="422" t="s">
        <v>98</v>
      </c>
      <c r="D1" s="423"/>
      <c r="E1" s="423"/>
      <c r="F1" s="423"/>
      <c r="G1" s="423"/>
      <c r="H1" s="423"/>
      <c r="I1" s="423"/>
      <c r="J1" s="2"/>
      <c r="K1" s="2"/>
      <c r="L1" s="2"/>
      <c r="M1" s="2"/>
      <c r="N1" s="8"/>
    </row>
    <row r="2" spans="1:14" ht="15.75" thickBot="1" x14ac:dyDescent="0.3">
      <c r="A2" s="424" t="s">
        <v>0</v>
      </c>
      <c r="B2" s="453" t="s">
        <v>1</v>
      </c>
      <c r="C2" s="454" t="s">
        <v>2</v>
      </c>
      <c r="D2" s="455"/>
      <c r="E2" s="455"/>
      <c r="F2" s="455"/>
      <c r="G2" s="455"/>
      <c r="H2" s="455"/>
      <c r="I2" s="455"/>
      <c r="J2" s="455"/>
      <c r="K2" s="455"/>
      <c r="L2" s="455"/>
      <c r="M2" s="456"/>
      <c r="N2" s="436" t="s">
        <v>3</v>
      </c>
    </row>
    <row r="3" spans="1:14" ht="15.75" thickBot="1" x14ac:dyDescent="0.3">
      <c r="A3" s="425"/>
      <c r="B3" s="427"/>
      <c r="C3" s="228" t="s">
        <v>68</v>
      </c>
      <c r="D3" s="227" t="s">
        <v>4</v>
      </c>
      <c r="E3" s="228" t="s">
        <v>5</v>
      </c>
      <c r="F3" s="167" t="s">
        <v>6</v>
      </c>
      <c r="G3" s="326" t="s">
        <v>8</v>
      </c>
      <c r="H3" s="252" t="s">
        <v>93</v>
      </c>
      <c r="I3" s="326" t="s">
        <v>96</v>
      </c>
      <c r="J3" s="252" t="s">
        <v>9</v>
      </c>
      <c r="K3" s="326" t="s">
        <v>92</v>
      </c>
      <c r="L3" s="252" t="s">
        <v>10</v>
      </c>
      <c r="M3" s="331" t="s">
        <v>95</v>
      </c>
      <c r="N3" s="437"/>
    </row>
    <row r="4" spans="1:14" ht="15.75" thickBot="1" x14ac:dyDescent="0.3">
      <c r="A4" s="5">
        <v>1</v>
      </c>
      <c r="B4" s="9" t="s">
        <v>11</v>
      </c>
      <c r="C4" s="142">
        <f>[1]STA_SP1_NO!$C$10</f>
        <v>52710</v>
      </c>
      <c r="D4" s="145">
        <f>[2]STA_SP1_NO!$C$10</f>
        <v>69812</v>
      </c>
      <c r="E4" s="142">
        <f>[3]STA_SP1_NO!$C$10</f>
        <v>14682</v>
      </c>
      <c r="F4" s="144">
        <f>[4]STA_SP1_NO!$C$10</f>
        <v>81889</v>
      </c>
      <c r="G4" s="318">
        <f>[5]STA_SP1_NO!$C$10</f>
        <v>30357</v>
      </c>
      <c r="H4" s="144">
        <f>[6]STA_SP1_NO!$C$10</f>
        <v>42394</v>
      </c>
      <c r="I4" s="318">
        <f>[7]STA_SP1_NO!$C$10</f>
        <v>55475</v>
      </c>
      <c r="J4" s="144">
        <f>[8]STA_SP1_NO!$C$10</f>
        <v>39139</v>
      </c>
      <c r="K4" s="318">
        <f>[9]STA_SP1_NO!$C$10</f>
        <v>31677</v>
      </c>
      <c r="L4" s="330">
        <f>[10]STA_SP1_NO!$C$10</f>
        <v>68346</v>
      </c>
      <c r="M4" s="332">
        <f>[11]STA_SP1_NO!$C$10</f>
        <v>0</v>
      </c>
      <c r="N4" s="238">
        <f t="shared" ref="N4:N22" si="0">SUM(C4:M4)</f>
        <v>486481</v>
      </c>
    </row>
    <row r="5" spans="1:14" ht="15.75" thickBot="1" x14ac:dyDescent="0.3">
      <c r="A5" s="4">
        <v>2</v>
      </c>
      <c r="B5" s="10" t="s">
        <v>12</v>
      </c>
      <c r="C5" s="142">
        <f>[1]STA_SP1_NO!$C$20</f>
        <v>939</v>
      </c>
      <c r="D5" s="145">
        <f>[2]STA_SP1_NO!$C$20</f>
        <v>14035</v>
      </c>
      <c r="E5" s="142">
        <f>[3]STA_SP1_NO!$C$20</f>
        <v>39</v>
      </c>
      <c r="F5" s="144">
        <f>[4]STA_SP1_NO!$C$20</f>
        <v>8132</v>
      </c>
      <c r="G5" s="318">
        <f>[5]STA_SP1_NO!$C$20</f>
        <v>663</v>
      </c>
      <c r="H5" s="144">
        <f>[6]STA_SP1_NO!$C$20</f>
        <v>0</v>
      </c>
      <c r="I5" s="318">
        <f>[7]STA_SP1_NO!$C$20</f>
        <v>608</v>
      </c>
      <c r="J5" s="144">
        <f>[8]STA_SP1_NO!$C$20</f>
        <v>0</v>
      </c>
      <c r="K5" s="318">
        <f>[9]STA_SP1_NO!$C$20</f>
        <v>5604</v>
      </c>
      <c r="L5" s="330">
        <f>[10]STA_SP1_NO!$C$20</f>
        <v>1174</v>
      </c>
      <c r="M5" s="332">
        <f>[11]STA_SP1_NO!$C$20</f>
        <v>0</v>
      </c>
      <c r="N5" s="239">
        <f t="shared" si="0"/>
        <v>31194</v>
      </c>
    </row>
    <row r="6" spans="1:14" ht="15.75" thickBot="1" x14ac:dyDescent="0.3">
      <c r="A6" s="4">
        <v>3</v>
      </c>
      <c r="B6" s="10" t="s">
        <v>13</v>
      </c>
      <c r="C6" s="142">
        <f>[1]STA_SP1_NO!$C$24</f>
        <v>3841</v>
      </c>
      <c r="D6" s="145">
        <f>[2]STA_SP1_NO!$C$24</f>
        <v>3734</v>
      </c>
      <c r="E6" s="142">
        <f>[3]STA_SP1_NO!$C$24</f>
        <v>5889</v>
      </c>
      <c r="F6" s="144">
        <f>[4]STA_SP1_NO!$C$24</f>
        <v>4826</v>
      </c>
      <c r="G6" s="318">
        <f>[5]STA_SP1_NO!$C$24</f>
        <v>2787</v>
      </c>
      <c r="H6" s="144">
        <f>[6]STA_SP1_NO!$C$24</f>
        <v>694</v>
      </c>
      <c r="I6" s="318">
        <f>[7]STA_SP1_NO!$C$24</f>
        <v>2180</v>
      </c>
      <c r="J6" s="144">
        <f>[8]STA_SP1_NO!$C$24</f>
        <v>3324</v>
      </c>
      <c r="K6" s="318">
        <f>[9]STA_SP1_NO!$C$24</f>
        <v>2677</v>
      </c>
      <c r="L6" s="330">
        <f>[10]STA_SP1_NO!$C$24</f>
        <v>2857</v>
      </c>
      <c r="M6" s="332">
        <f>[11]STA_SP1_NO!$C$24</f>
        <v>0</v>
      </c>
      <c r="N6" s="240">
        <f t="shared" si="0"/>
        <v>32809</v>
      </c>
    </row>
    <row r="7" spans="1:14" ht="15.75" thickBot="1" x14ac:dyDescent="0.3">
      <c r="A7" s="4">
        <v>4</v>
      </c>
      <c r="B7" s="10" t="s">
        <v>14</v>
      </c>
      <c r="C7" s="142">
        <f>[1]STA_SP1_NO!$C$27</f>
        <v>0</v>
      </c>
      <c r="D7" s="145">
        <f>[2]STA_SP1_NO!$C$27</f>
        <v>0</v>
      </c>
      <c r="E7" s="142">
        <f>[3]STA_SP1_NO!$C$27</f>
        <v>0</v>
      </c>
      <c r="F7" s="144">
        <f>[4]STA_SP1_NO!$C$27</f>
        <v>0</v>
      </c>
      <c r="G7" s="318">
        <f>[5]STA_SP1_NO!$C$27</f>
        <v>0</v>
      </c>
      <c r="H7" s="144">
        <f>[6]STA_SP1_NO!$C$27</f>
        <v>0</v>
      </c>
      <c r="I7" s="318">
        <f>[7]STA_SP1_NO!$C$27</f>
        <v>0</v>
      </c>
      <c r="J7" s="144">
        <f>[8]STA_SP1_NO!$C$27</f>
        <v>0</v>
      </c>
      <c r="K7" s="318">
        <f>[9]STA_SP1_NO!$C$27</f>
        <v>0</v>
      </c>
      <c r="L7" s="330">
        <f>[10]STA_SP1_NO!$C$27</f>
        <v>0</v>
      </c>
      <c r="M7" s="332">
        <f>[11]STA_SP1_NO!$C$27</f>
        <v>0</v>
      </c>
      <c r="N7" s="239">
        <f t="shared" si="0"/>
        <v>0</v>
      </c>
    </row>
    <row r="8" spans="1:14" ht="15.75" thickBot="1" x14ac:dyDescent="0.3">
      <c r="A8" s="4">
        <v>5</v>
      </c>
      <c r="B8" s="10" t="s">
        <v>15</v>
      </c>
      <c r="C8" s="142">
        <f>[1]STA_SP1_NO!$C$30</f>
        <v>0</v>
      </c>
      <c r="D8" s="145">
        <f>[2]STA_SP1_NO!$C$30</f>
        <v>0</v>
      </c>
      <c r="E8" s="142">
        <f>[3]STA_SP1_NO!$C$30</f>
        <v>0</v>
      </c>
      <c r="F8" s="144">
        <f>[4]STA_SP1_NO!$C$30</f>
        <v>0</v>
      </c>
      <c r="G8" s="318">
        <f>[5]STA_SP1_NO!$C$30</f>
        <v>7</v>
      </c>
      <c r="H8" s="144">
        <f>[6]STA_SP1_NO!$C$30</f>
        <v>0</v>
      </c>
      <c r="I8" s="318">
        <f>[7]STA_SP1_NO!$C$30</f>
        <v>0</v>
      </c>
      <c r="J8" s="144">
        <f>[8]STA_SP1_NO!$C$30</f>
        <v>6</v>
      </c>
      <c r="K8" s="318">
        <f>[9]STA_SP1_NO!$C$30</f>
        <v>0</v>
      </c>
      <c r="L8" s="330">
        <f>[10]STA_SP1_NO!$C$30</f>
        <v>1</v>
      </c>
      <c r="M8" s="332">
        <f>[11]STA_SP1_NO!$C$30</f>
        <v>0</v>
      </c>
      <c r="N8" s="239">
        <f t="shared" si="0"/>
        <v>14</v>
      </c>
    </row>
    <row r="9" spans="1:14" ht="15.75" thickBot="1" x14ac:dyDescent="0.3">
      <c r="A9" s="4">
        <v>6</v>
      </c>
      <c r="B9" s="10" t="s">
        <v>16</v>
      </c>
      <c r="C9" s="142">
        <f>[1]STA_SP1_NO!$C$33</f>
        <v>4</v>
      </c>
      <c r="D9" s="145">
        <f>[2]STA_SP1_NO!$C$33</f>
        <v>2</v>
      </c>
      <c r="E9" s="142">
        <f>[3]STA_SP1_NO!$C$33</f>
        <v>2</v>
      </c>
      <c r="F9" s="144">
        <f>[4]STA_SP1_NO!$C$33</f>
        <v>22</v>
      </c>
      <c r="G9" s="318">
        <f>[5]STA_SP1_NO!$C$33</f>
        <v>0</v>
      </c>
      <c r="H9" s="144">
        <f>[6]STA_SP1_NO!$C$33</f>
        <v>0</v>
      </c>
      <c r="I9" s="318">
        <f>[7]STA_SP1_NO!$C$33</f>
        <v>1</v>
      </c>
      <c r="J9" s="144">
        <f>[8]STA_SP1_NO!$C$33</f>
        <v>7</v>
      </c>
      <c r="K9" s="318">
        <f>[9]STA_SP1_NO!$C$33</f>
        <v>5</v>
      </c>
      <c r="L9" s="330">
        <f>[10]STA_SP1_NO!$C$33</f>
        <v>1</v>
      </c>
      <c r="M9" s="332">
        <f>[11]STA_SP1_NO!$C$33</f>
        <v>0</v>
      </c>
      <c r="N9" s="239">
        <f t="shared" si="0"/>
        <v>44</v>
      </c>
    </row>
    <row r="10" spans="1:14" ht="15.75" thickBot="1" x14ac:dyDescent="0.3">
      <c r="A10" s="4">
        <v>7</v>
      </c>
      <c r="B10" s="10" t="s">
        <v>17</v>
      </c>
      <c r="C10" s="142">
        <f>[1]STA_SP1_NO!$C$36</f>
        <v>88</v>
      </c>
      <c r="D10" s="145">
        <f>[2]STA_SP1_NO!$C$36</f>
        <v>376</v>
      </c>
      <c r="E10" s="142">
        <f>[3]STA_SP1_NO!$C$36</f>
        <v>188</v>
      </c>
      <c r="F10" s="144">
        <f>[4]STA_SP1_NO!$C$36</f>
        <v>131</v>
      </c>
      <c r="G10" s="318">
        <f>[5]STA_SP1_NO!$C$36</f>
        <v>328</v>
      </c>
      <c r="H10" s="144">
        <f>[6]STA_SP1_NO!$C$36</f>
        <v>0</v>
      </c>
      <c r="I10" s="318">
        <f>[7]STA_SP1_NO!$C$36</f>
        <v>100</v>
      </c>
      <c r="J10" s="144">
        <f>[8]STA_SP1_NO!$C$36</f>
        <v>81</v>
      </c>
      <c r="K10" s="318">
        <f>[9]STA_SP1_NO!$C$36</f>
        <v>145</v>
      </c>
      <c r="L10" s="330">
        <f>[10]STA_SP1_NO!$C$36</f>
        <v>13</v>
      </c>
      <c r="M10" s="332">
        <f>[11]STA_SP1_NO!$C$36</f>
        <v>0</v>
      </c>
      <c r="N10" s="239">
        <f t="shared" si="0"/>
        <v>1450</v>
      </c>
    </row>
    <row r="11" spans="1:14" ht="15.75" thickBot="1" x14ac:dyDescent="0.3">
      <c r="A11" s="4">
        <v>8</v>
      </c>
      <c r="B11" s="10" t="s">
        <v>18</v>
      </c>
      <c r="C11" s="142">
        <f>[1]STA_SP1_NO!$C$40</f>
        <v>7973</v>
      </c>
      <c r="D11" s="145">
        <f>[2]STA_SP1_NO!$C$40</f>
        <v>10787</v>
      </c>
      <c r="E11" s="142">
        <f>[3]STA_SP1_NO!$C$40</f>
        <v>2813</v>
      </c>
      <c r="F11" s="144">
        <f>[4]STA_SP1_NO!$C$40</f>
        <v>14510</v>
      </c>
      <c r="G11" s="318">
        <f>[5]STA_SP1_NO!$C$40</f>
        <v>6898</v>
      </c>
      <c r="H11" s="144">
        <f>[6]STA_SP1_NO!$C$40</f>
        <v>586</v>
      </c>
      <c r="I11" s="318">
        <f>[7]STA_SP1_NO!$C$40</f>
        <v>3155</v>
      </c>
      <c r="J11" s="144">
        <f>[8]STA_SP1_NO!$C$40</f>
        <v>3952</v>
      </c>
      <c r="K11" s="318">
        <f>[9]STA_SP1_NO!$C$40</f>
        <v>4525</v>
      </c>
      <c r="L11" s="330">
        <f>[10]STA_SP1_NO!$C$40</f>
        <v>11803</v>
      </c>
      <c r="M11" s="332">
        <f>[11]STA_SP1_NO!$C$40</f>
        <v>0</v>
      </c>
      <c r="N11" s="240">
        <f t="shared" si="0"/>
        <v>67002</v>
      </c>
    </row>
    <row r="12" spans="1:14" ht="15.75" thickBot="1" x14ac:dyDescent="0.3">
      <c r="A12" s="4">
        <v>9</v>
      </c>
      <c r="B12" s="10" t="s">
        <v>19</v>
      </c>
      <c r="C12" s="142">
        <f>[1]STA_SP1_NO!$C$56</f>
        <v>8760</v>
      </c>
      <c r="D12" s="145">
        <f>[2]STA_SP1_NO!$C$56</f>
        <v>12179</v>
      </c>
      <c r="E12" s="142">
        <f>[3]STA_SP1_NO!$C$56</f>
        <v>968</v>
      </c>
      <c r="F12" s="144">
        <f>[4]STA_SP1_NO!$C$56</f>
        <v>25023</v>
      </c>
      <c r="G12" s="318">
        <f>[5]STA_SP1_NO!$C$56</f>
        <v>5978</v>
      </c>
      <c r="H12" s="144">
        <f>[6]STA_SP1_NO!$C$56</f>
        <v>384</v>
      </c>
      <c r="I12" s="318">
        <f>[7]STA_SP1_NO!$C$56</f>
        <v>1644</v>
      </c>
      <c r="J12" s="144">
        <f>[8]STA_SP1_NO!$C$56</f>
        <v>1935</v>
      </c>
      <c r="K12" s="318">
        <f>[9]STA_SP1_NO!$C$56</f>
        <v>4705</v>
      </c>
      <c r="L12" s="330">
        <f>[10]STA_SP1_NO!$C$56</f>
        <v>11005</v>
      </c>
      <c r="M12" s="332">
        <f>[11]STA_SP1_NO!$C$56</f>
        <v>0</v>
      </c>
      <c r="N12" s="240">
        <f t="shared" si="0"/>
        <v>72581</v>
      </c>
    </row>
    <row r="13" spans="1:14" ht="15.75" thickBot="1" x14ac:dyDescent="0.3">
      <c r="A13" s="4">
        <v>10</v>
      </c>
      <c r="B13" s="10" t="s">
        <v>20</v>
      </c>
      <c r="C13" s="142">
        <f>[1]STA_SP1_NO!$C$88</f>
        <v>78270</v>
      </c>
      <c r="D13" s="145">
        <f>[2]STA_SP1_NO!$C$88</f>
        <v>42979</v>
      </c>
      <c r="E13" s="142">
        <f>[3]STA_SP1_NO!$C$88</f>
        <v>34852</v>
      </c>
      <c r="F13" s="144">
        <f>[4]STA_SP1_NO!$C$88</f>
        <v>50069</v>
      </c>
      <c r="G13" s="318">
        <f>[5]STA_SP1_NO!$C$88</f>
        <v>46693</v>
      </c>
      <c r="H13" s="144">
        <f>[6]STA_SP1_NO!$C$88</f>
        <v>71765</v>
      </c>
      <c r="I13" s="318">
        <f>[7]STA_SP1_NO!$C$88</f>
        <v>94722</v>
      </c>
      <c r="J13" s="144">
        <f>[8]STA_SP1_NO!$C$88</f>
        <v>57847</v>
      </c>
      <c r="K13" s="318">
        <f>[9]STA_SP1_NO!$C$88</f>
        <v>34155</v>
      </c>
      <c r="L13" s="330">
        <f>[10]STA_SP1_NO!$C$88</f>
        <v>69339</v>
      </c>
      <c r="M13" s="332">
        <f>[11]STA_SP1_NO!$C$88</f>
        <v>64</v>
      </c>
      <c r="N13" s="240">
        <f t="shared" si="0"/>
        <v>580755</v>
      </c>
    </row>
    <row r="14" spans="1:14" ht="15.75" thickBot="1" x14ac:dyDescent="0.3">
      <c r="A14" s="4">
        <v>11</v>
      </c>
      <c r="B14" s="10" t="s">
        <v>21</v>
      </c>
      <c r="C14" s="142">
        <f>[1]STA_SP1_NO!$C$124</f>
        <v>10</v>
      </c>
      <c r="D14" s="145">
        <f>[2]STA_SP1_NO!$C$124</f>
        <v>110</v>
      </c>
      <c r="E14" s="142">
        <f>[3]STA_SP1_NO!$C$124</f>
        <v>0</v>
      </c>
      <c r="F14" s="144">
        <f>[4]STA_SP1_NO!$C$124</f>
        <v>0</v>
      </c>
      <c r="G14" s="318">
        <f>[5]STA_SP1_NO!$C$124</f>
        <v>6</v>
      </c>
      <c r="H14" s="144">
        <f>[6]STA_SP1_NO!$C$124</f>
        <v>0</v>
      </c>
      <c r="I14" s="318">
        <f>[7]STA_SP1_NO!$C$124</f>
        <v>0</v>
      </c>
      <c r="J14" s="144">
        <f>[8]STA_SP1_NO!$C$124</f>
        <v>28</v>
      </c>
      <c r="K14" s="318">
        <f>[9]STA_SP1_NO!$C$124</f>
        <v>0</v>
      </c>
      <c r="L14" s="330">
        <f>[10]STA_SP1_NO!$C$124</f>
        <v>3</v>
      </c>
      <c r="M14" s="332">
        <f>[11]STA_SP1_NO!$C$124</f>
        <v>0</v>
      </c>
      <c r="N14" s="239">
        <f t="shared" si="0"/>
        <v>157</v>
      </c>
    </row>
    <row r="15" spans="1:14" ht="15.75" thickBot="1" x14ac:dyDescent="0.3">
      <c r="A15" s="4">
        <v>12</v>
      </c>
      <c r="B15" s="10" t="s">
        <v>22</v>
      </c>
      <c r="C15" s="142">
        <f>[1]STA_SP1_NO!$C$128</f>
        <v>83</v>
      </c>
      <c r="D15" s="145">
        <f>[2]STA_SP1_NO!$C$128</f>
        <v>26</v>
      </c>
      <c r="E15" s="142">
        <f>[3]STA_SP1_NO!$C$128</f>
        <v>8</v>
      </c>
      <c r="F15" s="144">
        <f>[4]STA_SP1_NO!$C$128</f>
        <v>157</v>
      </c>
      <c r="G15" s="318">
        <f>[5]STA_SP1_NO!$C$128</f>
        <v>137</v>
      </c>
      <c r="H15" s="144">
        <f>[6]STA_SP1_NO!$C$128</f>
        <v>0</v>
      </c>
      <c r="I15" s="318">
        <f>[7]STA_SP1_NO!$C$128</f>
        <v>78</v>
      </c>
      <c r="J15" s="144">
        <f>[8]STA_SP1_NO!$C$128</f>
        <v>96</v>
      </c>
      <c r="K15" s="318">
        <f>[9]STA_SP1_NO!$C$128</f>
        <v>55</v>
      </c>
      <c r="L15" s="330">
        <f>[10]STA_SP1_NO!$C$128</f>
        <v>26</v>
      </c>
      <c r="M15" s="332">
        <f>[11]STA_SP1_NO!$C$128</f>
        <v>0</v>
      </c>
      <c r="N15" s="239">
        <f t="shared" si="0"/>
        <v>666</v>
      </c>
    </row>
    <row r="16" spans="1:14" ht="15.75" thickBot="1" x14ac:dyDescent="0.3">
      <c r="A16" s="4">
        <v>13</v>
      </c>
      <c r="B16" s="10" t="s">
        <v>23</v>
      </c>
      <c r="C16" s="142">
        <f>[1]STA_SP1_NO!$C$132</f>
        <v>3201</v>
      </c>
      <c r="D16" s="145">
        <f>[2]STA_SP1_NO!$C$132</f>
        <v>6073</v>
      </c>
      <c r="E16" s="142">
        <f>[3]STA_SP1_NO!$C$132</f>
        <v>769</v>
      </c>
      <c r="F16" s="144">
        <f>[4]STA_SP1_NO!$C$132</f>
        <v>9472</v>
      </c>
      <c r="G16" s="318">
        <f>[5]STA_SP1_NO!$C$132</f>
        <v>6847</v>
      </c>
      <c r="H16" s="144">
        <f>[6]STA_SP1_NO!$C$132</f>
        <v>215</v>
      </c>
      <c r="I16" s="318">
        <f>[7]STA_SP1_NO!$C$132</f>
        <v>1515</v>
      </c>
      <c r="J16" s="144">
        <f>[8]STA_SP1_NO!$C$132</f>
        <v>2526</v>
      </c>
      <c r="K16" s="318">
        <f>[9]STA_SP1_NO!$C$132</f>
        <v>2158</v>
      </c>
      <c r="L16" s="330">
        <f>[10]STA_SP1_NO!$C$132</f>
        <v>10944</v>
      </c>
      <c r="M16" s="332">
        <f>[11]STA_SP1_NO!$C$132</f>
        <v>0</v>
      </c>
      <c r="N16" s="239">
        <f t="shared" si="0"/>
        <v>43720</v>
      </c>
    </row>
    <row r="17" spans="1:14" ht="15.75" thickBot="1" x14ac:dyDescent="0.3">
      <c r="A17" s="4">
        <v>14</v>
      </c>
      <c r="B17" s="10" t="s">
        <v>24</v>
      </c>
      <c r="C17" s="142">
        <f>[1]STA_SP1_NO!$C$153</f>
        <v>765</v>
      </c>
      <c r="D17" s="145">
        <f>[2]STA_SP1_NO!$C$153</f>
        <v>1645</v>
      </c>
      <c r="E17" s="142">
        <f>[3]STA_SP1_NO!$C$153</f>
        <v>12</v>
      </c>
      <c r="F17" s="144">
        <f>[4]STA_SP1_NO!$C$153</f>
        <v>47</v>
      </c>
      <c r="G17" s="318">
        <f>[5]STA_SP1_NO!$C$153</f>
        <v>0</v>
      </c>
      <c r="H17" s="144">
        <f>[6]STA_SP1_NO!$C$153</f>
        <v>0</v>
      </c>
      <c r="I17" s="318">
        <f>[7]STA_SP1_NO!$C$153</f>
        <v>0</v>
      </c>
      <c r="J17" s="144">
        <f>[8]STA_SP1_NO!$C$153</f>
        <v>0</v>
      </c>
      <c r="K17" s="318">
        <f>[9]STA_SP1_NO!$C$153</f>
        <v>2792</v>
      </c>
      <c r="L17" s="330">
        <f>[10]STA_SP1_NO!$C$153</f>
        <v>1419</v>
      </c>
      <c r="M17" s="332">
        <f>[11]STA_SP1_NO!$C$153</f>
        <v>0</v>
      </c>
      <c r="N17" s="239">
        <f t="shared" si="0"/>
        <v>6680</v>
      </c>
    </row>
    <row r="18" spans="1:14" ht="15.75" thickBot="1" x14ac:dyDescent="0.3">
      <c r="A18" s="4">
        <v>15</v>
      </c>
      <c r="B18" s="10" t="s">
        <v>25</v>
      </c>
      <c r="C18" s="142">
        <f>[1]STA_SP1_NO!$C$158</f>
        <v>0</v>
      </c>
      <c r="D18" s="145">
        <f>[2]STA_SP1_NO!$C$158</f>
        <v>0</v>
      </c>
      <c r="E18" s="142">
        <f>[3]STA_SP1_NO!$C$158</f>
        <v>9</v>
      </c>
      <c r="F18" s="144">
        <f>[4]STA_SP1_NO!$C$158</f>
        <v>1</v>
      </c>
      <c r="G18" s="318">
        <f>[5]STA_SP1_NO!$C$158</f>
        <v>33</v>
      </c>
      <c r="H18" s="144">
        <f>[6]STA_SP1_NO!$C$158</f>
        <v>0</v>
      </c>
      <c r="I18" s="318">
        <f>[7]STA_SP1_NO!$C$158</f>
        <v>0</v>
      </c>
      <c r="J18" s="144">
        <f>[8]STA_SP1_NO!$C$158</f>
        <v>0</v>
      </c>
      <c r="K18" s="318">
        <f>[9]STA_SP1_NO!$C$158</f>
        <v>2</v>
      </c>
      <c r="L18" s="330">
        <f>[10]STA_SP1_NO!$C$158</f>
        <v>0</v>
      </c>
      <c r="M18" s="332">
        <f>[11]STA_SP1_NO!$C$158</f>
        <v>0</v>
      </c>
      <c r="N18" s="239">
        <f t="shared" si="0"/>
        <v>45</v>
      </c>
    </row>
    <row r="19" spans="1:14" ht="15.75" thickBot="1" x14ac:dyDescent="0.3">
      <c r="A19" s="4">
        <v>16</v>
      </c>
      <c r="B19" s="10" t="s">
        <v>26</v>
      </c>
      <c r="C19" s="142">
        <f>[1]STA_SP1_NO!$C$161</f>
        <v>18</v>
      </c>
      <c r="D19" s="145">
        <f>[2]STA_SP1_NO!$C$161</f>
        <v>32</v>
      </c>
      <c r="E19" s="142">
        <f>[3]STA_SP1_NO!$C$161</f>
        <v>1</v>
      </c>
      <c r="F19" s="144">
        <f>[4]STA_SP1_NO!$C$161</f>
        <v>180</v>
      </c>
      <c r="G19" s="318">
        <f>[5]STA_SP1_NO!$C$161</f>
        <v>533</v>
      </c>
      <c r="H19" s="144">
        <f>[6]STA_SP1_NO!$C$161</f>
        <v>0</v>
      </c>
      <c r="I19" s="318">
        <f>[7]STA_SP1_NO!$C$161</f>
        <v>14</v>
      </c>
      <c r="J19" s="144">
        <f>[8]STA_SP1_NO!$C$161</f>
        <v>0</v>
      </c>
      <c r="K19" s="318">
        <f>[9]STA_SP1_NO!$C$161</f>
        <v>35</v>
      </c>
      <c r="L19" s="330">
        <f>[10]STA_SP1_NO!$C$161</f>
        <v>18</v>
      </c>
      <c r="M19" s="332">
        <f>[11]STA_SP1_NO!$C$161</f>
        <v>0</v>
      </c>
      <c r="N19" s="239">
        <f t="shared" si="0"/>
        <v>831</v>
      </c>
    </row>
    <row r="20" spans="1:14" ht="15.75" thickBot="1" x14ac:dyDescent="0.3">
      <c r="A20" s="4">
        <v>17</v>
      </c>
      <c r="B20" s="10" t="s">
        <v>27</v>
      </c>
      <c r="C20" s="142">
        <f>[1]STA_SP1_NO!$C$167</f>
        <v>0</v>
      </c>
      <c r="D20" s="145">
        <f>[2]STA_SP1_NO!$C$167</f>
        <v>0</v>
      </c>
      <c r="E20" s="142">
        <f>[3]STA_SP1_NO!$C$167</f>
        <v>0</v>
      </c>
      <c r="F20" s="144">
        <f>[4]STA_SP1_NO!$C$167</f>
        <v>0</v>
      </c>
      <c r="G20" s="318">
        <f>[5]STA_SP1_NO!$C$167</f>
        <v>0</v>
      </c>
      <c r="H20" s="144">
        <f>[6]STA_SP1_NO!$C$167</f>
        <v>0</v>
      </c>
      <c r="I20" s="318">
        <f>[7]STA_SP1_NO!$C$167</f>
        <v>0</v>
      </c>
      <c r="J20" s="144">
        <f>[8]STA_SP1_NO!$C$167</f>
        <v>0</v>
      </c>
      <c r="K20" s="318">
        <f>[9]STA_SP1_NO!$C$167</f>
        <v>0</v>
      </c>
      <c r="L20" s="330">
        <f>[10]STA_SP1_NO!$C$167</f>
        <v>0</v>
      </c>
      <c r="M20" s="332">
        <f>[11]STA_SP1_NO!$C$167</f>
        <v>0</v>
      </c>
      <c r="N20" s="239">
        <f t="shared" si="0"/>
        <v>0</v>
      </c>
    </row>
    <row r="21" spans="1:14" ht="15.75" thickBot="1" x14ac:dyDescent="0.3">
      <c r="A21" s="6">
        <v>18</v>
      </c>
      <c r="B21" s="11" t="s">
        <v>28</v>
      </c>
      <c r="C21" s="142">
        <f>[1]STA_SP1_NO!$C$170</f>
        <v>16126</v>
      </c>
      <c r="D21" s="145">
        <f>[2]STA_SP1_NO!$C$170</f>
        <v>44001</v>
      </c>
      <c r="E21" s="142">
        <f>[3]STA_SP1_NO!$C$170</f>
        <v>8358</v>
      </c>
      <c r="F21" s="144">
        <f>[4]STA_SP1_NO!$C$170</f>
        <v>50977</v>
      </c>
      <c r="G21" s="318">
        <f>[5]STA_SP1_NO!$C$170</f>
        <v>48561</v>
      </c>
      <c r="H21" s="144">
        <f>[6]STA_SP1_NO!$C$170</f>
        <v>4894</v>
      </c>
      <c r="I21" s="318">
        <f>[7]STA_SP1_NO!$C$170</f>
        <v>21990</v>
      </c>
      <c r="J21" s="144">
        <f>[8]STA_SP1_NO!$C$170</f>
        <v>15112</v>
      </c>
      <c r="K21" s="318">
        <f>[9]STA_SP1_NO!$C$170</f>
        <v>11959</v>
      </c>
      <c r="L21" s="144">
        <f>[10]STA_SP1_NO!$C$170</f>
        <v>18467</v>
      </c>
      <c r="M21" s="332">
        <f>[11]STA_SP1_NO!$C$170</f>
        <v>0</v>
      </c>
      <c r="N21" s="241">
        <f t="shared" si="0"/>
        <v>240445</v>
      </c>
    </row>
    <row r="22" spans="1:14" ht="15.75" thickBot="1" x14ac:dyDescent="0.3">
      <c r="A22" s="7"/>
      <c r="B22" s="19" t="s">
        <v>29</v>
      </c>
      <c r="C22" s="111">
        <f>[1]STA_SP1_NO!$C$175</f>
        <v>111183</v>
      </c>
      <c r="D22" s="112">
        <f>[2]STA_SP1_NO!$C$175</f>
        <v>119075</v>
      </c>
      <c r="E22" s="113">
        <f>[3]STA_SP1_NO!$C$175</f>
        <v>53260</v>
      </c>
      <c r="F22" s="325">
        <f>[4]STA_SP1_NO!$C$175</f>
        <v>140686</v>
      </c>
      <c r="G22" s="327">
        <f>[5]STA_SP1_NO!$C$175</f>
        <v>107230</v>
      </c>
      <c r="H22" s="325">
        <f>[6]STA_SP1_NO!$C$175</f>
        <v>77850</v>
      </c>
      <c r="I22" s="327">
        <f>[7]STA_SP1_NO!$C$175</f>
        <v>122719</v>
      </c>
      <c r="J22" s="325">
        <f>[8]STA_SP1_NO!$C$175</f>
        <v>82512</v>
      </c>
      <c r="K22" s="327">
        <f>[9]STA_SP1_NO!$C$175</f>
        <v>71783</v>
      </c>
      <c r="L22" s="325">
        <f>[10]STA_SP1_NO!$C$175</f>
        <v>129540</v>
      </c>
      <c r="M22" s="333">
        <f>[11]STA_SP1_NO!$C$175</f>
        <v>64</v>
      </c>
      <c r="N22" s="242">
        <f t="shared" si="0"/>
        <v>1015902</v>
      </c>
    </row>
    <row r="23" spans="1:14" ht="15.75" thickBot="1" x14ac:dyDescent="0.3">
      <c r="A23" s="13"/>
      <c r="B23" s="18"/>
      <c r="C23" s="14"/>
      <c r="D23" s="16"/>
      <c r="E23" s="15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 thickBot="1" x14ac:dyDescent="0.3">
      <c r="A24" s="429" t="s">
        <v>30</v>
      </c>
      <c r="B24" s="430"/>
      <c r="C24" s="23">
        <f>C22/N22</f>
        <v>0.10944264308958936</v>
      </c>
      <c r="D24" s="24">
        <f>D22/N22</f>
        <v>0.1172111089455479</v>
      </c>
      <c r="E24" s="25">
        <f>E22/N22</f>
        <v>5.2426316711651322E-2</v>
      </c>
      <c r="F24" s="329">
        <f>F22/N22</f>
        <v>0.13848383013322152</v>
      </c>
      <c r="G24" s="328">
        <f>G22/N22</f>
        <v>0.10555151973320261</v>
      </c>
      <c r="H24" s="329">
        <f>H22/N22</f>
        <v>7.6631407360158749E-2</v>
      </c>
      <c r="I24" s="328">
        <f>I22/N22</f>
        <v>0.12079806910509085</v>
      </c>
      <c r="J24" s="329">
        <f>J22/N22</f>
        <v>8.1220432679530108E-2</v>
      </c>
      <c r="K24" s="328">
        <f>K22/N22</f>
        <v>7.0659374624717733E-2</v>
      </c>
      <c r="L24" s="329">
        <f>L22/N22</f>
        <v>0.12751229941470732</v>
      </c>
      <c r="M24" s="334">
        <f>M22/N22</f>
        <v>6.2998202582532572E-5</v>
      </c>
      <c r="N24" s="245">
        <f>SUM(C24:M24)</f>
        <v>0.99999999999999989</v>
      </c>
    </row>
    <row r="25" spans="1:14" ht="15.75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thickBot="1" x14ac:dyDescent="0.3">
      <c r="A26" s="424" t="s">
        <v>0</v>
      </c>
      <c r="B26" s="426" t="s">
        <v>1</v>
      </c>
      <c r="C26" s="450" t="s">
        <v>89</v>
      </c>
      <c r="D26" s="451"/>
      <c r="E26" s="451"/>
      <c r="F26" s="451"/>
      <c r="G26" s="451"/>
      <c r="H26" s="452"/>
      <c r="I26" s="448" t="s">
        <v>3</v>
      </c>
      <c r="J26" s="1"/>
      <c r="K26" s="1"/>
      <c r="L26" s="1"/>
      <c r="M26" s="1"/>
      <c r="N26" s="1"/>
    </row>
    <row r="27" spans="1:14" ht="15.75" thickBot="1" x14ac:dyDescent="0.3">
      <c r="A27" s="425"/>
      <c r="B27" s="428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49"/>
      <c r="J27" s="81"/>
      <c r="K27" s="438" t="s">
        <v>32</v>
      </c>
      <c r="L27" s="439"/>
      <c r="M27" s="232">
        <f>N22</f>
        <v>1015902</v>
      </c>
      <c r="N27" s="233">
        <f>M27/M29</f>
        <v>0.98040922522828555</v>
      </c>
    </row>
    <row r="28" spans="1:14" ht="15.75" thickBot="1" x14ac:dyDescent="0.3">
      <c r="A28" s="22">
        <v>19</v>
      </c>
      <c r="B28" s="80" t="s">
        <v>33</v>
      </c>
      <c r="C28" s="187">
        <f>[12]STA_SP1_ZO!$I$51</f>
        <v>2820</v>
      </c>
      <c r="D28" s="209">
        <f>[13]STA_SP1_ZO!$I$51</f>
        <v>995</v>
      </c>
      <c r="E28" s="187">
        <f>[14]STA_SP1_ZO!$I$51</f>
        <v>1192</v>
      </c>
      <c r="F28" s="186">
        <f>[15]STA_SP1_ZO!$I$51</f>
        <v>11284</v>
      </c>
      <c r="G28" s="187">
        <f>[16]STA_SP1_ZO!$I$51</f>
        <v>3464</v>
      </c>
      <c r="H28" s="212">
        <f>[17]STA_SP1_ZO!$I$51</f>
        <v>545</v>
      </c>
      <c r="I28" s="243">
        <f>SUM(C28:H28)</f>
        <v>20300</v>
      </c>
      <c r="J28" s="81"/>
      <c r="K28" s="438" t="s">
        <v>33</v>
      </c>
      <c r="L28" s="439"/>
      <c r="M28" s="234">
        <f>I28</f>
        <v>20300</v>
      </c>
      <c r="N28" s="235">
        <f>M28/M29</f>
        <v>1.9590774771714396E-2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46" t="s">
        <v>3</v>
      </c>
      <c r="L29" s="447"/>
      <c r="M29" s="236">
        <f>M27+M28</f>
        <v>1036202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0.13891625615763548</v>
      </c>
      <c r="D30" s="82">
        <f>D28/I28</f>
        <v>4.9014778325123153E-2</v>
      </c>
      <c r="E30" s="23">
        <f>E28/I28</f>
        <v>5.87192118226601E-2</v>
      </c>
      <c r="F30" s="82">
        <f>F28/I28</f>
        <v>0.55586206896551726</v>
      </c>
      <c r="G30" s="23">
        <f>G28/I28</f>
        <v>0.17064039408866996</v>
      </c>
      <c r="H30" s="82">
        <f>H28/I28</f>
        <v>2.6847290640394088E-2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N2:N3"/>
    <mergeCell ref="A24:B24"/>
    <mergeCell ref="C1:I1"/>
    <mergeCell ref="A2:A3"/>
    <mergeCell ref="B2:B3"/>
    <mergeCell ref="C2:M2"/>
    <mergeCell ref="K28:L28"/>
    <mergeCell ref="K29:L29"/>
    <mergeCell ref="A30:B30"/>
    <mergeCell ref="A26:A27"/>
    <mergeCell ref="B26:B27"/>
    <mergeCell ref="K27:L27"/>
    <mergeCell ref="I26:I27"/>
    <mergeCell ref="C26:H26"/>
  </mergeCells>
  <pageMargins left="0.25" right="0.25" top="0.75" bottom="0.75" header="0.3" footer="0.3"/>
  <pageSetup paperSize="9" scale="9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I21" sqref="I21"/>
    </sheetView>
  </sheetViews>
  <sheetFormatPr defaultRowHeight="15" x14ac:dyDescent="0.25"/>
  <cols>
    <col min="3" max="3" width="15" customWidth="1"/>
    <col min="4" max="4" width="17.28515625" customWidth="1"/>
    <col min="5" max="5" width="19.140625" customWidth="1"/>
    <col min="6" max="6" width="24.42578125" customWidth="1"/>
    <col min="7" max="7" width="25.85546875" customWidth="1"/>
  </cols>
  <sheetData>
    <row r="1" spans="1:8" x14ac:dyDescent="0.25">
      <c r="A1" s="173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594" t="s">
        <v>120</v>
      </c>
      <c r="C4" s="594"/>
      <c r="D4" s="594"/>
      <c r="E4" s="594"/>
      <c r="F4" s="594"/>
      <c r="G4" s="594"/>
      <c r="H4" s="594"/>
    </row>
    <row r="5" spans="1:8" x14ac:dyDescent="0.25">
      <c r="A5" s="1"/>
      <c r="B5" s="159"/>
      <c r="C5" s="160"/>
      <c r="D5" s="160"/>
      <c r="E5" s="160"/>
      <c r="F5" s="160"/>
      <c r="G5" s="160"/>
      <c r="H5" s="160"/>
    </row>
    <row r="6" spans="1:8" ht="15.75" thickBot="1" x14ac:dyDescent="0.3">
      <c r="A6" s="1"/>
      <c r="B6" s="1"/>
      <c r="C6" s="1"/>
      <c r="D6" s="1"/>
      <c r="E6" s="1"/>
      <c r="F6" s="1"/>
      <c r="G6" s="79"/>
      <c r="H6" s="1"/>
    </row>
    <row r="7" spans="1:8" ht="15" customHeight="1" x14ac:dyDescent="0.25">
      <c r="A7" s="1"/>
      <c r="B7" s="595" t="s">
        <v>3</v>
      </c>
      <c r="C7" s="596"/>
      <c r="D7" s="599" t="s">
        <v>60</v>
      </c>
      <c r="E7" s="601" t="s">
        <v>61</v>
      </c>
      <c r="F7" s="601" t="s">
        <v>62</v>
      </c>
      <c r="G7" s="603" t="s">
        <v>58</v>
      </c>
      <c r="H7" s="1"/>
    </row>
    <row r="8" spans="1:8" ht="23.25" customHeight="1" x14ac:dyDescent="0.25">
      <c r="A8" s="1"/>
      <c r="B8" s="597"/>
      <c r="C8" s="598"/>
      <c r="D8" s="600"/>
      <c r="E8" s="602"/>
      <c r="F8" s="602"/>
      <c r="G8" s="604"/>
      <c r="H8" s="1"/>
    </row>
    <row r="9" spans="1:8" ht="45" customHeight="1" x14ac:dyDescent="0.25">
      <c r="A9" s="1"/>
      <c r="B9" s="588" t="s">
        <v>63</v>
      </c>
      <c r="C9" s="589"/>
      <c r="D9" s="175">
        <f>[18]Vkupno!$C$12</f>
        <v>182</v>
      </c>
      <c r="E9" s="175">
        <f>[18]Vkupno!$D$12</f>
        <v>18804.84</v>
      </c>
      <c r="F9" s="175">
        <f>[18]Vkupno!$F$12</f>
        <v>580</v>
      </c>
      <c r="G9" s="176">
        <f>[18]Vkupno!$G$12</f>
        <v>158066.82</v>
      </c>
      <c r="H9" s="1"/>
    </row>
    <row r="10" spans="1:8" ht="45" customHeight="1" x14ac:dyDescent="0.25">
      <c r="A10" s="1"/>
      <c r="B10" s="588" t="s">
        <v>64</v>
      </c>
      <c r="C10" s="589"/>
      <c r="D10" s="175">
        <f>[18]Vkupno!$C$21</f>
        <v>30</v>
      </c>
      <c r="E10" s="175">
        <f>[18]Vkupno!$D$21</f>
        <v>4443.01</v>
      </c>
      <c r="F10" s="175">
        <f>[18]Vkupno!$F$21</f>
        <v>176</v>
      </c>
      <c r="G10" s="176">
        <f>[18]Vkupno!$G$21</f>
        <v>44823.15</v>
      </c>
      <c r="H10" s="1"/>
    </row>
    <row r="11" spans="1:8" ht="38.25" customHeight="1" x14ac:dyDescent="0.25">
      <c r="A11" s="1"/>
      <c r="B11" s="590" t="s">
        <v>3</v>
      </c>
      <c r="C11" s="591"/>
      <c r="D11" s="177">
        <f>D9+D10</f>
        <v>212</v>
      </c>
      <c r="E11" s="178">
        <f>E9+E10</f>
        <v>23247.85</v>
      </c>
      <c r="F11" s="177">
        <f>F9+F10</f>
        <v>756</v>
      </c>
      <c r="G11" s="179">
        <f>G9+G10</f>
        <v>202889.97</v>
      </c>
      <c r="H11" s="1"/>
    </row>
    <row r="12" spans="1:8" ht="53.25" customHeight="1" thickBot="1" x14ac:dyDescent="0.3">
      <c r="A12" s="1"/>
      <c r="B12" s="592" t="s">
        <v>65</v>
      </c>
      <c r="C12" s="593"/>
      <c r="D12" s="175">
        <f>[18]Vkupno!$C$22</f>
        <v>273</v>
      </c>
      <c r="E12" s="175">
        <f>[18]Vkupno!$D$22</f>
        <v>42165.500000000007</v>
      </c>
      <c r="F12" s="175">
        <f>[18]Vkupno!$F$22</f>
        <v>685</v>
      </c>
      <c r="G12" s="176">
        <f>[18]Vkupno!$G$22</f>
        <v>167162.63000000003</v>
      </c>
      <c r="H12" s="1"/>
    </row>
  </sheetData>
  <mergeCells count="10">
    <mergeCell ref="B9:C9"/>
    <mergeCell ref="B10:C10"/>
    <mergeCell ref="B11:C11"/>
    <mergeCell ref="B12:C12"/>
    <mergeCell ref="B4:H4"/>
    <mergeCell ref="B7:C8"/>
    <mergeCell ref="D7:D8"/>
    <mergeCell ref="E7:E8"/>
    <mergeCell ref="F7:F8"/>
    <mergeCell ref="G7:G8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K39" sqref="K39"/>
    </sheetView>
  </sheetViews>
  <sheetFormatPr defaultRowHeight="15" x14ac:dyDescent="0.25"/>
  <cols>
    <col min="1" max="1" width="7.42578125" bestFit="1" customWidth="1"/>
    <col min="2" max="2" width="32.5703125" customWidth="1"/>
  </cols>
  <sheetData>
    <row r="1" spans="1:14" ht="15.75" thickBot="1" x14ac:dyDescent="0.3">
      <c r="A1" s="26"/>
      <c r="B1" s="26"/>
      <c r="C1" s="457" t="s">
        <v>121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155" t="s">
        <v>35</v>
      </c>
    </row>
    <row r="2" spans="1:14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464" t="s">
        <v>3</v>
      </c>
    </row>
    <row r="3" spans="1:14" ht="15.75" thickBot="1" x14ac:dyDescent="0.3">
      <c r="A3" s="461"/>
      <c r="B3" s="491"/>
      <c r="C3" s="354" t="s">
        <v>68</v>
      </c>
      <c r="D3" s="375" t="s">
        <v>4</v>
      </c>
      <c r="E3" s="413" t="s">
        <v>5</v>
      </c>
      <c r="F3" s="344" t="s">
        <v>6</v>
      </c>
      <c r="G3" s="414" t="s">
        <v>8</v>
      </c>
      <c r="H3" s="356" t="s">
        <v>93</v>
      </c>
      <c r="I3" s="413" t="s">
        <v>96</v>
      </c>
      <c r="J3" s="372" t="s">
        <v>37</v>
      </c>
      <c r="K3" s="358" t="s">
        <v>92</v>
      </c>
      <c r="L3" s="344" t="s">
        <v>10</v>
      </c>
      <c r="M3" s="373" t="s">
        <v>95</v>
      </c>
      <c r="N3" s="465"/>
    </row>
    <row r="4" spans="1:14" x14ac:dyDescent="0.25">
      <c r="A4" s="30">
        <v>1</v>
      </c>
      <c r="B4" s="351" t="s">
        <v>11</v>
      </c>
      <c r="C4" s="62">
        <f>[1]STA_SP5_NO!$C$10+[1]STA_SP5_NO!$K$10</f>
        <v>65577.72</v>
      </c>
      <c r="D4" s="368">
        <f>[2]STA_SP5_NO!$C$10+[2]STA_SP5_NO!$K$10</f>
        <v>32481.919999999998</v>
      </c>
      <c r="E4" s="62">
        <f>[3]STA_SP5_NO!$C$10+[3]STA_SP5_NO!$K$10</f>
        <v>13748</v>
      </c>
      <c r="F4" s="54">
        <f>[4]STA_SP5_NO!$C$10+[4]STA_SP5_NO!$K$10</f>
        <v>32244.67</v>
      </c>
      <c r="G4" s="259">
        <f>[5]STA_SP5_NO!$C$10+[5]STA_SP5_NO!$K$10</f>
        <v>56427</v>
      </c>
      <c r="H4" s="371">
        <f>[6]STA_SP5_NO!$C$10+[6]STA_SP5_NO!$K$10</f>
        <v>21784.04</v>
      </c>
      <c r="I4" s="62">
        <f>[7]STA_SP5_NO!$C$10+[7]STA_SP5_NO!$K$10</f>
        <v>34618</v>
      </c>
      <c r="J4" s="54">
        <f>[8]STA_SP5_NO!$C$10+[8]STA_SP5_NO!$K$10</f>
        <v>22515</v>
      </c>
      <c r="K4" s="62">
        <f>[9]STA_SP5_NO!$C$10+[9]STA_SP5_NO!$K$10</f>
        <v>41251.57</v>
      </c>
      <c r="L4" s="54">
        <f>[10]STA_SP5_NO!$C$10+[10]STA_SP5_NO!$K$10</f>
        <v>75035</v>
      </c>
      <c r="M4" s="374">
        <f>[11]STA_SP5_NO!$C$10+[11]STA_SP5_NO!$K$10</f>
        <v>78.08</v>
      </c>
      <c r="N4" s="249">
        <f t="shared" ref="N4:N21" si="0">SUM(C4:M4)</f>
        <v>395761</v>
      </c>
    </row>
    <row r="5" spans="1:14" x14ac:dyDescent="0.25">
      <c r="A5" s="32">
        <v>2</v>
      </c>
      <c r="B5" s="352" t="s">
        <v>12</v>
      </c>
      <c r="C5" s="62">
        <f>[1]STA_SP5_NO!$C$11+[1]STA_SP5_NO!$K$11</f>
        <v>146299.03</v>
      </c>
      <c r="D5" s="368">
        <f>[2]STA_SP5_NO!$C$11+[2]STA_SP5_NO!$K$11</f>
        <v>142469.41</v>
      </c>
      <c r="E5" s="62">
        <f>[3]STA_SP5_NO!$C$11+[3]STA_SP5_NO!$K$11</f>
        <v>14792</v>
      </c>
      <c r="F5" s="54">
        <f>[4]STA_SP5_NO!$C$11+[4]STA_SP5_NO!$K$11</f>
        <v>91413.02</v>
      </c>
      <c r="G5" s="259">
        <f>[5]STA_SP5_NO!$C$11+[5]STA_SP5_NO!$K$11</f>
        <v>139697</v>
      </c>
      <c r="H5" s="371">
        <f>[6]STA_SP5_NO!$C$11+[6]STA_SP5_NO!$K$11</f>
        <v>0</v>
      </c>
      <c r="I5" s="62">
        <f>[7]STA_SP5_NO!$C$11+[7]STA_SP5_NO!$K$11</f>
        <v>75488</v>
      </c>
      <c r="J5" s="54">
        <f>[8]STA_SP5_NO!$C$11+[8]STA_SP5_NO!$K$11</f>
        <v>0</v>
      </c>
      <c r="K5" s="62">
        <f>[9]STA_SP5_NO!$C$11+[9]STA_SP5_NO!$K$11</f>
        <v>82243.460000000006</v>
      </c>
      <c r="L5" s="54">
        <f>[10]STA_SP5_NO!$C$11+[10]STA_SP5_NO!$K$11</f>
        <v>156480</v>
      </c>
      <c r="M5" s="374">
        <f>[11]STA_SP5_NO!$C$11+[11]STA_SP5_NO!$K$11</f>
        <v>0</v>
      </c>
      <c r="N5" s="249">
        <f t="shared" si="0"/>
        <v>848881.91999999993</v>
      </c>
    </row>
    <row r="6" spans="1:14" x14ac:dyDescent="0.25">
      <c r="A6" s="32">
        <v>3</v>
      </c>
      <c r="B6" s="352" t="s">
        <v>13</v>
      </c>
      <c r="C6" s="62">
        <f>[1]STA_SP5_NO!$C$12+[1]STA_SP5_NO!$K$12</f>
        <v>105186.67</v>
      </c>
      <c r="D6" s="368">
        <f>[2]STA_SP5_NO!$C$12+[2]STA_SP5_NO!$K$12</f>
        <v>101375.33</v>
      </c>
      <c r="E6" s="62">
        <f>[3]STA_SP5_NO!$C$12+[3]STA_SP5_NO!$K$12</f>
        <v>48289</v>
      </c>
      <c r="F6" s="54">
        <f>[4]STA_SP5_NO!$C$12+[4]STA_SP5_NO!$K$12</f>
        <v>164224.6</v>
      </c>
      <c r="G6" s="259">
        <f>[5]STA_SP5_NO!$C$12+[5]STA_SP5_NO!$K$12</f>
        <v>86216</v>
      </c>
      <c r="H6" s="371">
        <f>[6]STA_SP5_NO!$C$12+[6]STA_SP5_NO!$K$12</f>
        <v>14698.710000000001</v>
      </c>
      <c r="I6" s="62">
        <f>[7]STA_SP5_NO!$C$12+[7]STA_SP5_NO!$K$12</f>
        <v>73593</v>
      </c>
      <c r="J6" s="54">
        <f>[8]STA_SP5_NO!$C$12+[8]STA_SP5_NO!$K$12</f>
        <v>83427.149999999994</v>
      </c>
      <c r="K6" s="62">
        <f>[9]STA_SP5_NO!$C$12+[9]STA_SP5_NO!$K$12</f>
        <v>102185.40000000001</v>
      </c>
      <c r="L6" s="54">
        <f>[10]STA_SP5_NO!$C$12+[10]STA_SP5_NO!$K$12</f>
        <v>87386</v>
      </c>
      <c r="M6" s="374">
        <f>[11]STA_SP5_NO!$C$12+[11]STA_SP5_NO!$K$12</f>
        <v>608.64</v>
      </c>
      <c r="N6" s="249">
        <f t="shared" si="0"/>
        <v>867190.50000000012</v>
      </c>
    </row>
    <row r="7" spans="1:14" x14ac:dyDescent="0.25">
      <c r="A7" s="32">
        <v>4</v>
      </c>
      <c r="B7" s="352" t="s">
        <v>14</v>
      </c>
      <c r="C7" s="62">
        <f>[1]STA_SP5_NO!$C$13+[1]STA_SP5_NO!$K$13</f>
        <v>0</v>
      </c>
      <c r="D7" s="368">
        <f>[2]STA_SP5_NO!$C$13+[2]STA_SP5_NO!$K$13</f>
        <v>0</v>
      </c>
      <c r="E7" s="62">
        <f>[3]STA_SP5_NO!$C$13+[3]STA_SP5_NO!$K$13</f>
        <v>0</v>
      </c>
      <c r="F7" s="54">
        <f>[4]STA_SP5_NO!$C$13+[4]STA_SP5_NO!$K$13</f>
        <v>0</v>
      </c>
      <c r="G7" s="259">
        <f>[5]STA_SP5_NO!$C$13+[5]STA_SP5_NO!$K$13</f>
        <v>0</v>
      </c>
      <c r="H7" s="371">
        <f>[6]STA_SP5_NO!$C$13+[6]STA_SP5_NO!$K$13</f>
        <v>0</v>
      </c>
      <c r="I7" s="62">
        <f>[7]STA_SP5_NO!$C$13+[7]STA_SP5_NO!$K$13</f>
        <v>0</v>
      </c>
      <c r="J7" s="54">
        <f>[8]STA_SP5_NO!$C$13+[8]STA_SP5_NO!$K$13</f>
        <v>0</v>
      </c>
      <c r="K7" s="62">
        <f>[9]STA_SP5_NO!$C$13+[9]STA_SP5_NO!$K$13</f>
        <v>0</v>
      </c>
      <c r="L7" s="54">
        <f>[10]STA_SP5_NO!$C$13+[10]STA_SP5_NO!$K$13</f>
        <v>0</v>
      </c>
      <c r="M7" s="374">
        <f>[11]STA_SP5_NO!$C$13+[11]STA_SP5_NO!$K$13</f>
        <v>0</v>
      </c>
      <c r="N7" s="249">
        <f t="shared" si="0"/>
        <v>0</v>
      </c>
    </row>
    <row r="8" spans="1:14" x14ac:dyDescent="0.25">
      <c r="A8" s="32">
        <v>5</v>
      </c>
      <c r="B8" s="352" t="s">
        <v>15</v>
      </c>
      <c r="C8" s="62">
        <f>[1]STA_SP5_NO!$C$14+[1]STA_SP5_NO!$K$14</f>
        <v>0</v>
      </c>
      <c r="D8" s="368">
        <f>[2]STA_SP5_NO!$C$14+[2]STA_SP5_NO!$K$14</f>
        <v>0</v>
      </c>
      <c r="E8" s="62">
        <f>[3]STA_SP5_NO!$C$14+[3]STA_SP5_NO!$K$14</f>
        <v>0</v>
      </c>
      <c r="F8" s="54">
        <f>[4]STA_SP5_NO!$C$14+[4]STA_SP5_NO!$K$14</f>
        <v>0</v>
      </c>
      <c r="G8" s="259">
        <f>[5]STA_SP5_NO!$C$14+[5]STA_SP5_NO!$K$14</f>
        <v>0</v>
      </c>
      <c r="H8" s="371">
        <f>[6]STA_SP5_NO!$C$14+[6]STA_SP5_NO!$K$14</f>
        <v>0</v>
      </c>
      <c r="I8" s="62">
        <f>[7]STA_SP5_NO!$C$14+[7]STA_SP5_NO!$K$14</f>
        <v>1454</v>
      </c>
      <c r="J8" s="54">
        <f>[8]STA_SP5_NO!$C$14+[8]STA_SP5_NO!$K$14</f>
        <v>1088</v>
      </c>
      <c r="K8" s="62">
        <f>[9]STA_SP5_NO!$C$14+[9]STA_SP5_NO!$K$14</f>
        <v>0</v>
      </c>
      <c r="L8" s="54">
        <f>[10]STA_SP5_NO!$C$14+[10]STA_SP5_NO!$K$14</f>
        <v>5769</v>
      </c>
      <c r="M8" s="374">
        <f>[11]STA_SP5_NO!$C$14+[11]STA_SP5_NO!$K$14</f>
        <v>0</v>
      </c>
      <c r="N8" s="249">
        <f t="shared" si="0"/>
        <v>8311</v>
      </c>
    </row>
    <row r="9" spans="1:14" x14ac:dyDescent="0.25">
      <c r="A9" s="32">
        <v>6</v>
      </c>
      <c r="B9" s="352" t="s">
        <v>16</v>
      </c>
      <c r="C9" s="62">
        <f>[1]STA_SP5_NO!$C$15+[1]STA_SP5_NO!$K$15</f>
        <v>182.41</v>
      </c>
      <c r="D9" s="368">
        <f>[2]STA_SP5_NO!$C$15+[2]STA_SP5_NO!$K$15</f>
        <v>42.45</v>
      </c>
      <c r="E9" s="62">
        <f>[3]STA_SP5_NO!$C$15+[3]STA_SP5_NO!$K$15</f>
        <v>84</v>
      </c>
      <c r="F9" s="54">
        <f>[4]STA_SP5_NO!$C$15+[4]STA_SP5_NO!$K$15</f>
        <v>1380.76</v>
      </c>
      <c r="G9" s="259">
        <f>[5]STA_SP5_NO!$C$15+[5]STA_SP5_NO!$K$15</f>
        <v>1</v>
      </c>
      <c r="H9" s="371">
        <f>[6]STA_SP5_NO!$C$15+[6]STA_SP5_NO!$K$15</f>
        <v>0</v>
      </c>
      <c r="I9" s="62">
        <f>[7]STA_SP5_NO!$C$15+[7]STA_SP5_NO!$K$15</f>
        <v>31</v>
      </c>
      <c r="J9" s="54">
        <f>[8]STA_SP5_NO!$C$15+[8]STA_SP5_NO!$K$15</f>
        <v>211</v>
      </c>
      <c r="K9" s="62">
        <f>[9]STA_SP5_NO!$C$15+[9]STA_SP5_NO!$K$15</f>
        <v>166.81</v>
      </c>
      <c r="L9" s="54">
        <f>[10]STA_SP5_NO!$C$15+[10]STA_SP5_NO!$K$15</f>
        <v>42</v>
      </c>
      <c r="M9" s="374">
        <f>[11]STA_SP5_NO!$C$15+[11]STA_SP5_NO!$K$15</f>
        <v>0</v>
      </c>
      <c r="N9" s="249">
        <f t="shared" si="0"/>
        <v>2141.4299999999998</v>
      </c>
    </row>
    <row r="10" spans="1:14" x14ac:dyDescent="0.25">
      <c r="A10" s="32">
        <v>7</v>
      </c>
      <c r="B10" s="352" t="s">
        <v>17</v>
      </c>
      <c r="C10" s="62">
        <f>[1]STA_SP5_NO!$C$16+[1]STA_SP5_NO!$K$16</f>
        <v>1932.48</v>
      </c>
      <c r="D10" s="368">
        <f>[2]STA_SP5_NO!$C$16+[2]STA_SP5_NO!$K$16</f>
        <v>15641.77</v>
      </c>
      <c r="E10" s="62">
        <f>[3]STA_SP5_NO!$C$16+[3]STA_SP5_NO!$K$16</f>
        <v>533</v>
      </c>
      <c r="F10" s="54">
        <f>[4]STA_SP5_NO!$C$16+[4]STA_SP5_NO!$K$16</f>
        <v>1835.51</v>
      </c>
      <c r="G10" s="259">
        <f>[5]STA_SP5_NO!$C$16+[5]STA_SP5_NO!$K$16</f>
        <v>17351</v>
      </c>
      <c r="H10" s="371">
        <f>[6]STA_SP5_NO!$C$16+[6]STA_SP5_NO!$K$16</f>
        <v>0</v>
      </c>
      <c r="I10" s="62">
        <f>[7]STA_SP5_NO!$C$16+[7]STA_SP5_NO!$K$16</f>
        <v>3189</v>
      </c>
      <c r="J10" s="54">
        <f>[8]STA_SP5_NO!$C$16+[8]STA_SP5_NO!$K$16</f>
        <v>129.68</v>
      </c>
      <c r="K10" s="62">
        <f>[9]STA_SP5_NO!$C$16+[9]STA_SP5_NO!$K$16</f>
        <v>1147.03</v>
      </c>
      <c r="L10" s="54">
        <f>[10]STA_SP5_NO!$C$16+[10]STA_SP5_NO!$K$16</f>
        <v>2635</v>
      </c>
      <c r="M10" s="374">
        <f>[11]STA_SP5_NO!$C$16+[11]STA_SP5_NO!$K$16</f>
        <v>0</v>
      </c>
      <c r="N10" s="249">
        <f t="shared" si="0"/>
        <v>44394.469999999994</v>
      </c>
    </row>
    <row r="11" spans="1:14" x14ac:dyDescent="0.25">
      <c r="A11" s="32">
        <v>8</v>
      </c>
      <c r="B11" s="352" t="s">
        <v>18</v>
      </c>
      <c r="C11" s="62">
        <f>[1]STA_SP5_NO!$C$17+[1]STA_SP5_NO!$K$17</f>
        <v>113614.29</v>
      </c>
      <c r="D11" s="368">
        <f>[2]STA_SP5_NO!$C$17+[2]STA_SP5_NO!$K$17</f>
        <v>52785.62</v>
      </c>
      <c r="E11" s="62">
        <f>[3]STA_SP5_NO!$C$17+[3]STA_SP5_NO!$K$17</f>
        <v>30443</v>
      </c>
      <c r="F11" s="54">
        <f>[4]STA_SP5_NO!$C$17+[4]STA_SP5_NO!$K$17</f>
        <v>59002.34</v>
      </c>
      <c r="G11" s="259">
        <f>[5]STA_SP5_NO!$C$17+[5]STA_SP5_NO!$K$17</f>
        <v>424243</v>
      </c>
      <c r="H11" s="371">
        <f>[6]STA_SP5_NO!$C$17+[6]STA_SP5_NO!$K$17</f>
        <v>2087.6799999999998</v>
      </c>
      <c r="I11" s="62">
        <f>[7]STA_SP5_NO!$C$17+[7]STA_SP5_NO!$K$17</f>
        <v>32077</v>
      </c>
      <c r="J11" s="54">
        <f>[8]STA_SP5_NO!$C$17+[8]STA_SP5_NO!$K$17</f>
        <v>38863</v>
      </c>
      <c r="K11" s="62">
        <f>[9]STA_SP5_NO!$C$17+[9]STA_SP5_NO!$K$17</f>
        <v>56417.3</v>
      </c>
      <c r="L11" s="54">
        <f>[10]STA_SP5_NO!$C$17+[10]STA_SP5_NO!$K$17</f>
        <v>43742</v>
      </c>
      <c r="M11" s="374">
        <f>[11]STA_SP5_NO!$C$17+[11]STA_SP5_NO!$K$17</f>
        <v>12.83</v>
      </c>
      <c r="N11" s="249">
        <f t="shared" si="0"/>
        <v>853288.06</v>
      </c>
    </row>
    <row r="12" spans="1:14" x14ac:dyDescent="0.25">
      <c r="A12" s="32">
        <v>9</v>
      </c>
      <c r="B12" s="352" t="s">
        <v>19</v>
      </c>
      <c r="C12" s="62">
        <f>[1]STA_SP5_NO!$C$20+[1]STA_SP5_NO!$K$20</f>
        <v>195021.71</v>
      </c>
      <c r="D12" s="368">
        <f>[2]STA_SP5_NO!$C$20+[2]STA_SP5_NO!$K$20</f>
        <v>104487.99</v>
      </c>
      <c r="E12" s="62">
        <f>[3]STA_SP5_NO!$C$20+[3]STA_SP5_NO!$K$20</f>
        <v>19110</v>
      </c>
      <c r="F12" s="54">
        <f>[4]STA_SP5_NO!$C$20+[4]STA_SP5_NO!$K$20</f>
        <v>118535.23</v>
      </c>
      <c r="G12" s="259">
        <f>[5]STA_SP5_NO!$C$20+[5]STA_SP5_NO!$K$20</f>
        <v>235212</v>
      </c>
      <c r="H12" s="371">
        <f>[6]STA_SP5_NO!$C$20+[6]STA_SP5_NO!$K$20</f>
        <v>1000.37</v>
      </c>
      <c r="I12" s="62">
        <f>[7]STA_SP5_NO!$C$20+[7]STA_SP5_NO!$K$20</f>
        <v>135317</v>
      </c>
      <c r="J12" s="54">
        <f>[8]STA_SP5_NO!$C$20+[8]STA_SP5_NO!$K$20</f>
        <v>17041.32</v>
      </c>
      <c r="K12" s="62">
        <f>[9]STA_SP5_NO!$C$20+[9]STA_SP5_NO!$K$20</f>
        <v>75376.7</v>
      </c>
      <c r="L12" s="54">
        <f>[10]STA_SP5_NO!$C$20+[10]STA_SP5_NO!$K$20</f>
        <v>44751</v>
      </c>
      <c r="M12" s="374">
        <f>[11]STA_SP5_NO!$C$20+[11]STA_SP5_NO!$K$20</f>
        <v>7.5</v>
      </c>
      <c r="N12" s="249">
        <f t="shared" si="0"/>
        <v>945860.81999999983</v>
      </c>
    </row>
    <row r="13" spans="1:14" x14ac:dyDescent="0.25">
      <c r="A13" s="32">
        <v>10</v>
      </c>
      <c r="B13" s="352" t="s">
        <v>20</v>
      </c>
      <c r="C13" s="62">
        <f>[1]STA_SP5_NO!$C$26+[1]STA_SP5_NO!$K$26</f>
        <v>451047.24</v>
      </c>
      <c r="D13" s="368">
        <f>[2]STA_SP5_NO!$C$26+[2]STA_SP5_NO!$K$26</f>
        <v>239108.58</v>
      </c>
      <c r="E13" s="62">
        <f>[3]STA_SP5_NO!$C$26+[3]STA_SP5_NO!$K$26</f>
        <v>154105</v>
      </c>
      <c r="F13" s="54">
        <f>[4]STA_SP5_NO!$C$26+[4]STA_SP5_NO!$K$26</f>
        <v>300657.69</v>
      </c>
      <c r="G13" s="259">
        <f>[5]STA_SP5_NO!$C$26+[5]STA_SP5_NO!$K$26</f>
        <v>252015</v>
      </c>
      <c r="H13" s="371">
        <f>[6]STA_SP5_NO!$C$26+[6]STA_SP5_NO!$K$26</f>
        <v>355018.33</v>
      </c>
      <c r="I13" s="62">
        <f>[7]STA_SP5_NO!$C$26+[7]STA_SP5_NO!$K$26</f>
        <v>535881</v>
      </c>
      <c r="J13" s="54">
        <f>[8]STA_SP5_NO!$C$26+[8]STA_SP5_NO!$K$26</f>
        <v>318106.5</v>
      </c>
      <c r="K13" s="62">
        <f>[9]STA_SP5_NO!$C$26+[9]STA_SP5_NO!$K$26</f>
        <v>208739.34</v>
      </c>
      <c r="L13" s="54">
        <f>[10]STA_SP5_NO!$C$26+[10]STA_SP5_NO!$K$26</f>
        <v>364550</v>
      </c>
      <c r="M13" s="374">
        <f>[11]STA_SP5_NO!$C$26+[11]STA_SP5_NO!$K$26</f>
        <v>3937.08</v>
      </c>
      <c r="N13" s="249">
        <f t="shared" si="0"/>
        <v>3183165.76</v>
      </c>
    </row>
    <row r="14" spans="1:14" x14ac:dyDescent="0.25">
      <c r="A14" s="32">
        <v>11</v>
      </c>
      <c r="B14" s="352" t="s">
        <v>21</v>
      </c>
      <c r="C14" s="62">
        <f>[1]STA_SP5_NO!$C$33+[1]STA_SP5_NO!$K$33</f>
        <v>31.16</v>
      </c>
      <c r="D14" s="368">
        <f>[2]STA_SP5_NO!$C$33+[2]STA_SP5_NO!$K$33</f>
        <v>290.55</v>
      </c>
      <c r="E14" s="62">
        <f>[3]STA_SP5_NO!$C$33+[3]STA_SP5_NO!$K$33</f>
        <v>0</v>
      </c>
      <c r="F14" s="54">
        <f>[4]STA_SP5_NO!$C$33+[4]STA_SP5_NO!$K$33</f>
        <v>0</v>
      </c>
      <c r="G14" s="259">
        <f>[5]STA_SP5_NO!$C$33+[5]STA_SP5_NO!$K$33</f>
        <v>8</v>
      </c>
      <c r="H14" s="371">
        <f>[6]STA_SP5_NO!$C$33+[6]STA_SP5_NO!$K$33</f>
        <v>0</v>
      </c>
      <c r="I14" s="62">
        <f>[7]STA_SP5_NO!$C$33+[7]STA_SP5_NO!$K$33</f>
        <v>130</v>
      </c>
      <c r="J14" s="54">
        <f>[8]STA_SP5_NO!$C$33+[8]STA_SP5_NO!$K$33</f>
        <v>1189</v>
      </c>
      <c r="K14" s="62">
        <f>[9]STA_SP5_NO!$C$33+[9]STA_SP5_NO!$K$33</f>
        <v>0</v>
      </c>
      <c r="L14" s="54">
        <f>[10]STA_SP5_NO!$C$33+[10]STA_SP5_NO!$K$33</f>
        <v>1386</v>
      </c>
      <c r="M14" s="374">
        <f>[11]STA_SP5_NO!$C$33+[11]STA_SP5_NO!$K$33</f>
        <v>0</v>
      </c>
      <c r="N14" s="249">
        <f t="shared" si="0"/>
        <v>3034.71</v>
      </c>
    </row>
    <row r="15" spans="1:14" x14ac:dyDescent="0.25">
      <c r="A15" s="32">
        <v>12</v>
      </c>
      <c r="B15" s="352" t="s">
        <v>22</v>
      </c>
      <c r="C15" s="62">
        <f>[1]STA_SP5_NO!$C$34+[1]STA_SP5_NO!$K$34</f>
        <v>416.96</v>
      </c>
      <c r="D15" s="368">
        <f>[2]STA_SP5_NO!$C$34+[2]STA_SP5_NO!$K$34</f>
        <v>170.55</v>
      </c>
      <c r="E15" s="62">
        <f>[3]STA_SP5_NO!$C$34+[3]STA_SP5_NO!$K$34</f>
        <v>32</v>
      </c>
      <c r="F15" s="54">
        <f>[4]STA_SP5_NO!$C$34+[4]STA_SP5_NO!$K$340</f>
        <v>656.7</v>
      </c>
      <c r="G15" s="259">
        <f>[5]STA_SP5_NO!$C$34+[5]STA_SP5_NO!$K$34</f>
        <v>530</v>
      </c>
      <c r="H15" s="371">
        <f>[6]STA_SP5_NO!$C$34+[6]STA_SP5_NO!$K$34</f>
        <v>0</v>
      </c>
      <c r="I15" s="62">
        <f>[7]STA_SP5_NO!$C$34+[7]STA_SP5_NO!$K$34</f>
        <v>346</v>
      </c>
      <c r="J15" s="54">
        <f>[8]STA_SP5_NO!$C$34+[8]STA_SP5_NO!$K$34</f>
        <v>315</v>
      </c>
      <c r="K15" s="62">
        <f>[9]STA_SP5_NO!$C$34+[9]STA_SP5_NO!$K$34</f>
        <v>266.27999999999997</v>
      </c>
      <c r="L15" s="54">
        <f>[10]STA_SP5_NO!$C$34+[10]STA_SP5_NO!$K$34</f>
        <v>121</v>
      </c>
      <c r="M15" s="374">
        <f>[11]STA_SP5_NO!$C$34+[11]STA_SP5_NO!$K$34</f>
        <v>0</v>
      </c>
      <c r="N15" s="249">
        <f t="shared" si="0"/>
        <v>2854.49</v>
      </c>
    </row>
    <row r="16" spans="1:14" x14ac:dyDescent="0.25">
      <c r="A16" s="32">
        <v>13</v>
      </c>
      <c r="B16" s="352" t="s">
        <v>23</v>
      </c>
      <c r="C16" s="62">
        <f>[1]STA_SP5_NO!$C$35+[1]STA_SP5_NO!$K$35</f>
        <v>37018.800000000003</v>
      </c>
      <c r="D16" s="368">
        <f>[2]STA_SP5_NO!$C$35+[2]STA_SP5_NO!$K$35</f>
        <v>27397.63</v>
      </c>
      <c r="E16" s="62">
        <f>[3]STA_SP5_NO!$C$35+[3]STA_SP5_NO!$K$35</f>
        <v>5787</v>
      </c>
      <c r="F16" s="54">
        <f>[4]STA_SP5_NO!$C$35+[4]STA_SP5_NO!$K$35</f>
        <v>10391.950000000001</v>
      </c>
      <c r="G16" s="259">
        <f>[5]STA_SP5_NO!$C$35+[5]STA_SP5_NO!$K$35</f>
        <v>101634</v>
      </c>
      <c r="H16" s="371">
        <f>[6]STA_SP5_NO!$C$35+[6]STA_SP5_NO!$K$35</f>
        <v>643.72</v>
      </c>
      <c r="I16" s="62">
        <f>[7]STA_SP5_NO!$C$35+[7]STA_SP5_NO!$K$35</f>
        <v>30271</v>
      </c>
      <c r="J16" s="54">
        <f>[8]STA_SP5_NO!$C$35+[8]STA_SP5_NO!$K$35</f>
        <v>13381</v>
      </c>
      <c r="K16" s="62">
        <f>[9]STA_SP5_NO!$C$35+[9]STA_SP5_NO!$K$35</f>
        <v>20077.27</v>
      </c>
      <c r="L16" s="54">
        <f>[10]STA_SP5_NO!$C$35+[10]STA_SP5_NO!$K$35</f>
        <v>14218</v>
      </c>
      <c r="M16" s="374">
        <f>[11]STA_SP5_NO!$C$35+[11]STA_SP5_NO!$K$35</f>
        <v>0.38</v>
      </c>
      <c r="N16" s="249">
        <f t="shared" si="0"/>
        <v>260820.75</v>
      </c>
    </row>
    <row r="17" spans="1:14" x14ac:dyDescent="0.25">
      <c r="A17" s="32">
        <v>14</v>
      </c>
      <c r="B17" s="352" t="s">
        <v>24</v>
      </c>
      <c r="C17" s="62">
        <f>[1]STA_SP5_NO!$C$36+[1]STA_SP5_NO!$K$36</f>
        <v>25995.34</v>
      </c>
      <c r="D17" s="368">
        <f>[2]STA_SP5_NO!$C$36+[2]STA_SP5_NO!$K$36</f>
        <v>38665.800000000003</v>
      </c>
      <c r="E17" s="62">
        <f>[3]STA_SP5_NO!$C$36+[3]STA_SP5_NO!$K$36</f>
        <v>10</v>
      </c>
      <c r="F17" s="54">
        <f>[4]STA_SP5_NO!$C$36+[4]STA_SP5_NO!$K$36</f>
        <v>2530.5500000000002</v>
      </c>
      <c r="G17" s="259">
        <f>[5]STA_SP5_NO!$C$36+[5]STA_SP5_NO!$K$36</f>
        <v>0</v>
      </c>
      <c r="H17" s="371">
        <f>[6]STA_SP5_NO!$C$36+[6]STA_SP5_NO!$K$36</f>
        <v>0</v>
      </c>
      <c r="I17" s="62">
        <f>[7]STA_SP5_NO!$C$36+[7]STA_SP5_NO!$K$36</f>
        <v>0</v>
      </c>
      <c r="J17" s="54">
        <f>[8]STA_SP5_NO!$C$36+[8]STA_SP5_NO!$K$36</f>
        <v>0</v>
      </c>
      <c r="K17" s="62">
        <f>[9]STA_SP5_NO!$C$36+[9]STA_SP5_NO!$K$36</f>
        <v>176312.62</v>
      </c>
      <c r="L17" s="54">
        <f>[10]STA_SP5_NO!$C$36+[10]STA_SP5_NO!$K$36</f>
        <v>12227</v>
      </c>
      <c r="M17" s="374">
        <f>[11]STA_SP5_NO!$C$36+[11]STA_SP5_NO!$K$36</f>
        <v>0</v>
      </c>
      <c r="N17" s="249">
        <f t="shared" si="0"/>
        <v>255741.31</v>
      </c>
    </row>
    <row r="18" spans="1:14" x14ac:dyDescent="0.25">
      <c r="A18" s="32">
        <v>15</v>
      </c>
      <c r="B18" s="352" t="s">
        <v>25</v>
      </c>
      <c r="C18" s="62">
        <f>[1]STA_SP5_NO!$C$37+[1]STA_SP5_NO!$K$37</f>
        <v>0</v>
      </c>
      <c r="D18" s="368">
        <f>[2]STA_SP5_NO!$C$37+[2]STA_SP5_NO!$K$37</f>
        <v>0</v>
      </c>
      <c r="E18" s="62">
        <f>[3]STA_SP5_NO!$C$37+[3]STA_SP5_NO!$K$37</f>
        <v>759</v>
      </c>
      <c r="F18" s="54">
        <f>[4]STA_SP5_NO!$C$37+[4]STA_SP5_NO!$K$37</f>
        <v>2.87</v>
      </c>
      <c r="G18" s="259">
        <f>[5]STA_SP5_NO!$C$37+[5]STA_SP5_NO!$K$37</f>
        <v>226</v>
      </c>
      <c r="H18" s="371">
        <f>[6]STA_SP5_NO!$C$37+[6]STA_SP5_NO!$K$37</f>
        <v>0</v>
      </c>
      <c r="I18" s="62">
        <f>[7]STA_SP5_NO!$C$37+[7]STA_SP5_NO!$K$37</f>
        <v>0</v>
      </c>
      <c r="J18" s="54">
        <f>[8]STA_SP5_NO!$C$37+[8]STA_SP5_NO!$K$37</f>
        <v>0</v>
      </c>
      <c r="K18" s="62">
        <f>[9]STA_SP5_NO!$C$37+[9]STA_SP5_NO!$K$37</f>
        <v>72.489999999999995</v>
      </c>
      <c r="L18" s="54">
        <f>[10]STA_SP5_NO!$C$37+[10]STA_SP5_NO!$K$37</f>
        <v>0</v>
      </c>
      <c r="M18" s="374">
        <f>[11]STA_SP5_NO!$C$37+[11]STA_SP5_NO!$K$37</f>
        <v>0</v>
      </c>
      <c r="N18" s="249">
        <f t="shared" si="0"/>
        <v>1060.3599999999999</v>
      </c>
    </row>
    <row r="19" spans="1:14" x14ac:dyDescent="0.25">
      <c r="A19" s="32">
        <v>16</v>
      </c>
      <c r="B19" s="352" t="s">
        <v>26</v>
      </c>
      <c r="C19" s="62">
        <f>[1]STA_SP5_NO!$C$38+[1]STA_SP5_NO!$K$38</f>
        <v>5010.8900000000003</v>
      </c>
      <c r="D19" s="368">
        <f>[2]STA_SP5_NO!$C$38+[2]STA_SP5_NO!$K$38</f>
        <v>13322.46</v>
      </c>
      <c r="E19" s="62">
        <f>[3]STA_SP5_NO!$C$38+[3]STA_SP5_NO!$K$38</f>
        <v>29</v>
      </c>
      <c r="F19" s="54">
        <f>[4]STA_SP5_NO!$C$38+[4]STA_SP5_NO!$K$38</f>
        <v>5252.88</v>
      </c>
      <c r="G19" s="259">
        <f>[5]STA_SP5_NO!$C$38+[5]STA_SP5_NO!$K$38</f>
        <v>317</v>
      </c>
      <c r="H19" s="371">
        <f>[6]STA_SP5_NO!$C$38+[6]STA_SP5_NO!$K$38</f>
        <v>0</v>
      </c>
      <c r="I19" s="62">
        <f>[7]STA_SP5_NO!$C$38+[7]STA_SP5_NO!$K$38</f>
        <v>6064</v>
      </c>
      <c r="J19" s="54">
        <f>[8]STA_SP5_NO!$C$38+[8]STA_SP5_NO!$K$38</f>
        <v>0</v>
      </c>
      <c r="K19" s="62">
        <f>[9]STA_SP5_NO!$C$38+[9]STA_SP5_NO!$K$38</f>
        <v>6142.4</v>
      </c>
      <c r="L19" s="54">
        <f>[10]STA_SP5_NO!$C$38+[10]STA_SP5_NO!$K$38</f>
        <v>670</v>
      </c>
      <c r="M19" s="374">
        <f>[11]STA_SP5_NO!$C$38+[11]STA_SP5_NO!$K$38</f>
        <v>0</v>
      </c>
      <c r="N19" s="249">
        <f t="shared" si="0"/>
        <v>36808.629999999997</v>
      </c>
    </row>
    <row r="20" spans="1:14" x14ac:dyDescent="0.25">
      <c r="A20" s="32">
        <v>17</v>
      </c>
      <c r="B20" s="352" t="s">
        <v>27</v>
      </c>
      <c r="C20" s="62">
        <f>[1]STA_SP5_NO!$C$39+[1]STA_SP5_NO!$K$39</f>
        <v>0</v>
      </c>
      <c r="D20" s="368">
        <f>[2]STA_SP5_NO!$C$39+[2]STA_SP5_NO!$K$39</f>
        <v>0</v>
      </c>
      <c r="E20" s="62">
        <f>[3]STA_SP5_NO!$C$39+[3]STA_SP5_NO!$K$39</f>
        <v>0</v>
      </c>
      <c r="F20" s="54">
        <f>[4]STA_SP5_NO!$C$39+[4]STA_SP5_NO!$K$39</f>
        <v>0</v>
      </c>
      <c r="G20" s="259">
        <f>[5]STA_SP5_NO!$C$39+[5]STA_SP5_NO!$K$39</f>
        <v>0</v>
      </c>
      <c r="H20" s="371">
        <f>[6]STA_SP5_NO!$C$39+[6]STA_SP5_NO!$K$39</f>
        <v>0</v>
      </c>
      <c r="I20" s="62">
        <f>[7]STA_SP5_NO!$C$39+[7]STA_SP5_NO!$K$39</f>
        <v>0</v>
      </c>
      <c r="J20" s="54">
        <f>[8]STA_SP5_NO!$C$39+[8]STA_SP5_NO!$K$39</f>
        <v>0</v>
      </c>
      <c r="K20" s="62">
        <f>[9]STA_SP5_NO!$C$39+[9]STA_SP5_NO!$K$39</f>
        <v>0</v>
      </c>
      <c r="L20" s="54">
        <f>[10]STA_SP5_NO!$C$39+[10]STA_SP5_NO!$K$39</f>
        <v>0</v>
      </c>
      <c r="M20" s="374">
        <f>[11]STA_SP5_NO!$C$39+[11]STA_SP5_NO!$K$39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62">
        <f>[1]STA_SP5_NO!$C$40+[1]STA_SP5_NO!$K$40</f>
        <v>5604.24</v>
      </c>
      <c r="D21" s="368">
        <f>[2]STA_SP5_NO!$C$40+[2]STA_SP5_NO!$K$40</f>
        <v>10972.59</v>
      </c>
      <c r="E21" s="62">
        <f>[3]STA_SP5_NO!$C$40+[3]STA_SP5_NO!$K$40</f>
        <v>3312</v>
      </c>
      <c r="F21" s="54">
        <f>[4]STA_SP5_NO!$C$40+[4]STA_SP5_NO!$K$40</f>
        <v>7771.25</v>
      </c>
      <c r="G21" s="259">
        <f>[5]STA_SP5_NO!$C$40+[5]STA_SP5_NO!$K$40</f>
        <v>15156</v>
      </c>
      <c r="H21" s="371">
        <f>[6]STA_SP5_NO!$C$40+[6]STA_SP5_NO!$K$40</f>
        <v>818.24</v>
      </c>
      <c r="I21" s="62">
        <f>[7]STA_SP5_NO!$C$40+[7]STA_SP5_NO!$K$40</f>
        <v>6061</v>
      </c>
      <c r="J21" s="54">
        <f>[8]STA_SP5_NO!$C$40+[8]STA_SP5_NO!$K$40</f>
        <v>6011</v>
      </c>
      <c r="K21" s="62">
        <f>[9]STA_SP5_NO!$C$40+[9]STA_SP5_NO!$K$40</f>
        <v>6896.56</v>
      </c>
      <c r="L21" s="54">
        <f>[10]STA_SP5_NO!$C$40+[10]STA_SP5_NO!$K$40</f>
        <v>11151</v>
      </c>
      <c r="M21" s="374">
        <f>[11]STA_SP5_NO!$C$40+[11]STA_SP5_NO!$K$40</f>
        <v>19.510000000000002</v>
      </c>
      <c r="N21" s="249">
        <f t="shared" si="0"/>
        <v>73773.39</v>
      </c>
    </row>
    <row r="22" spans="1:14" ht="15.75" thickBot="1" x14ac:dyDescent="0.3">
      <c r="A22" s="36"/>
      <c r="B22" s="366" t="s">
        <v>29</v>
      </c>
      <c r="C22" s="350">
        <f>SUM(C4:C21)</f>
        <v>1152938.9399999997</v>
      </c>
      <c r="D22" s="360">
        <f>SUM(D4:D21)</f>
        <v>779212.65000000014</v>
      </c>
      <c r="E22" s="350">
        <f t="shared" ref="E22:N22" si="1">SUM(E4:E21)</f>
        <v>291033</v>
      </c>
      <c r="F22" s="362">
        <f t="shared" si="1"/>
        <v>795900.02</v>
      </c>
      <c r="G22" s="376">
        <f t="shared" si="1"/>
        <v>1329033</v>
      </c>
      <c r="H22" s="362">
        <f t="shared" si="1"/>
        <v>396051.08999999997</v>
      </c>
      <c r="I22" s="350">
        <f t="shared" si="1"/>
        <v>934520</v>
      </c>
      <c r="J22" s="363">
        <f t="shared" si="1"/>
        <v>502277.65</v>
      </c>
      <c r="K22" s="350">
        <f t="shared" si="1"/>
        <v>777295.2300000001</v>
      </c>
      <c r="L22" s="362">
        <f t="shared" si="1"/>
        <v>820163</v>
      </c>
      <c r="M22" s="364">
        <f t="shared" si="1"/>
        <v>4664.0200000000004</v>
      </c>
      <c r="N22" s="250">
        <f t="shared" si="1"/>
        <v>7783088.5999999996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s="421" customFormat="1" ht="23.25" customHeight="1" thickBot="1" x14ac:dyDescent="0.3">
      <c r="A24" s="469" t="s">
        <v>30</v>
      </c>
      <c r="B24" s="605"/>
      <c r="C24" s="417">
        <f>C22/N22</f>
        <v>0.14813385781063829</v>
      </c>
      <c r="D24" s="418">
        <f>D22/N22</f>
        <v>0.10011612228081281</v>
      </c>
      <c r="E24" s="417">
        <f>E22/N22</f>
        <v>3.7392995885977713E-2</v>
      </c>
      <c r="F24" s="418">
        <f>F22/N22</f>
        <v>0.10226017727718018</v>
      </c>
      <c r="G24" s="417">
        <f>G22/N22</f>
        <v>0.1707590737178554</v>
      </c>
      <c r="H24" s="418">
        <f>H22/N22</f>
        <v>5.0886108376050093E-2</v>
      </c>
      <c r="I24" s="417">
        <f>I22/N22</f>
        <v>0.12007058483183657</v>
      </c>
      <c r="J24" s="418">
        <f>J22/N22</f>
        <v>6.4534489559838759E-2</v>
      </c>
      <c r="K24" s="417">
        <f>K22/N22</f>
        <v>9.9869765069872149E-2</v>
      </c>
      <c r="L24" s="418">
        <f>L22/N22</f>
        <v>0.10537757465590203</v>
      </c>
      <c r="M24" s="419">
        <f>M22/N22</f>
        <v>5.9925053403606392E-4</v>
      </c>
      <c r="N24" s="420">
        <f>SUM(C24:M24)</f>
        <v>1</v>
      </c>
    </row>
  </sheetData>
  <mergeCells count="6">
    <mergeCell ref="N2:N3"/>
    <mergeCell ref="A24:B24"/>
    <mergeCell ref="C1:K1"/>
    <mergeCell ref="A2:A3"/>
    <mergeCell ref="B2:B3"/>
    <mergeCell ref="C2:M2"/>
  </mergeCells>
  <pageMargins left="0.25" right="0.25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workbookViewId="0">
      <selection activeCell="P12" sqref="P12"/>
    </sheetView>
  </sheetViews>
  <sheetFormatPr defaultRowHeight="15" x14ac:dyDescent="0.25"/>
  <cols>
    <col min="1" max="1" width="4" customWidth="1"/>
    <col min="2" max="2" width="28.42578125" customWidth="1"/>
    <col min="3" max="3" width="11" bestFit="1" customWidth="1"/>
    <col min="4" max="4" width="9.85546875" bestFit="1" customWidth="1"/>
    <col min="6" max="6" width="9.140625" customWidth="1"/>
    <col min="8" max="8" width="9.85546875" bestFit="1" customWidth="1"/>
  </cols>
  <sheetData>
    <row r="1" spans="1:14" ht="31.5" customHeight="1" thickBot="1" x14ac:dyDescent="0.3">
      <c r="A1" s="120"/>
      <c r="B1" s="120"/>
      <c r="C1" s="457" t="s">
        <v>99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155" t="s">
        <v>35</v>
      </c>
    </row>
    <row r="2" spans="1:14" ht="15.75" thickBot="1" x14ac:dyDescent="0.3">
      <c r="A2" s="460" t="s">
        <v>0</v>
      </c>
      <c r="B2" s="462" t="s">
        <v>1</v>
      </c>
      <c r="C2" s="466" t="s">
        <v>2</v>
      </c>
      <c r="D2" s="467"/>
      <c r="E2" s="467"/>
      <c r="F2" s="467"/>
      <c r="G2" s="467"/>
      <c r="H2" s="467"/>
      <c r="I2" s="467"/>
      <c r="J2" s="467"/>
      <c r="K2" s="467"/>
      <c r="L2" s="467"/>
      <c r="M2" s="468"/>
      <c r="N2" s="464" t="s">
        <v>3</v>
      </c>
    </row>
    <row r="3" spans="1:14" ht="15.75" thickBot="1" x14ac:dyDescent="0.3">
      <c r="A3" s="461"/>
      <c r="B3" s="463"/>
      <c r="C3" s="21" t="s">
        <v>68</v>
      </c>
      <c r="D3" s="27" t="s">
        <v>4</v>
      </c>
      <c r="E3" s="335" t="s">
        <v>5</v>
      </c>
      <c r="F3" s="27" t="s">
        <v>6</v>
      </c>
      <c r="G3" s="28" t="s">
        <v>8</v>
      </c>
      <c r="H3" s="167" t="s">
        <v>93</v>
      </c>
      <c r="I3" s="28" t="s">
        <v>96</v>
      </c>
      <c r="J3" s="337" t="s">
        <v>9</v>
      </c>
      <c r="K3" s="349" t="s">
        <v>92</v>
      </c>
      <c r="L3" s="339" t="s">
        <v>10</v>
      </c>
      <c r="M3" s="340" t="s">
        <v>95</v>
      </c>
      <c r="N3" s="465"/>
    </row>
    <row r="4" spans="1:14" ht="15.75" thickBot="1" x14ac:dyDescent="0.3">
      <c r="A4" s="30">
        <v>1</v>
      </c>
      <c r="B4" s="31" t="s">
        <v>11</v>
      </c>
      <c r="C4" s="143">
        <f>[1]STA_SP1_NO!$G$10</f>
        <v>29602.75</v>
      </c>
      <c r="D4" s="118">
        <f>[2]STA_SP1_NO!$G$10</f>
        <v>21380.83</v>
      </c>
      <c r="E4" s="143">
        <f>[3]STA_SP1_NO!$G$10</f>
        <v>6255</v>
      </c>
      <c r="F4" s="118">
        <f>[4]STA_SP1_NO!$G$10</f>
        <v>11171.67</v>
      </c>
      <c r="G4" s="61">
        <f>[5]STA_SP1_NO!$G$10</f>
        <v>38796</v>
      </c>
      <c r="H4" s="144">
        <f>[6]STA_SP1_NO!$G$10</f>
        <v>5111.91</v>
      </c>
      <c r="I4" s="61">
        <f>[7]STA_SP1_NO!$G$10</f>
        <v>11625</v>
      </c>
      <c r="J4" s="68">
        <f>[8]STA_SP1_NO!$G$10</f>
        <v>8631</v>
      </c>
      <c r="K4" s="117">
        <f>[9]STA_SP1_NO!$G$10</f>
        <v>21189.759999999998</v>
      </c>
      <c r="L4" s="68">
        <f>[10]STA_SP1_NO!$G$10</f>
        <v>36583</v>
      </c>
      <c r="M4" s="332">
        <f>[11]STA_SP1_NO!$G$10</f>
        <v>55</v>
      </c>
      <c r="N4" s="249">
        <f t="shared" ref="N4:N21" si="0">SUM(C4:M4)</f>
        <v>190401.92000000001</v>
      </c>
    </row>
    <row r="5" spans="1:14" ht="15.75" thickBot="1" x14ac:dyDescent="0.3">
      <c r="A5" s="32">
        <v>2</v>
      </c>
      <c r="B5" s="33" t="s">
        <v>12</v>
      </c>
      <c r="C5" s="143">
        <f>[1]STA_SP1_NO!$G$20</f>
        <v>85899.76</v>
      </c>
      <c r="D5" s="118">
        <f>[2]STA_SP1_NO!$G$20</f>
        <v>82960.53</v>
      </c>
      <c r="E5" s="143">
        <f>[3]STA_SP1_NO!$G$20</f>
        <v>4995</v>
      </c>
      <c r="F5" s="118">
        <f>[4]STA_SP1_NO!$G$20</f>
        <v>51164.41</v>
      </c>
      <c r="G5" s="61">
        <f>[5]STA_SP1_NO!$G$20</f>
        <v>71267</v>
      </c>
      <c r="H5" s="144">
        <f>[6]STA_SP1_NO!$G$20</f>
        <v>0</v>
      </c>
      <c r="I5" s="61">
        <f>[7]STA_SP1_NO!$G$20</f>
        <v>56637</v>
      </c>
      <c r="J5" s="68">
        <f>[8]STA_SP1_NO!$G$20</f>
        <v>0</v>
      </c>
      <c r="K5" s="117">
        <f>[9]STA_SP1_NO!$G$20</f>
        <v>45306.26</v>
      </c>
      <c r="L5" s="68">
        <f>[10]STA_SP1_NO!$G$20</f>
        <v>91232</v>
      </c>
      <c r="M5" s="332">
        <f>[11]STA_SP1_NO!$G$20</f>
        <v>0</v>
      </c>
      <c r="N5" s="249">
        <f t="shared" si="0"/>
        <v>489461.95999999996</v>
      </c>
    </row>
    <row r="6" spans="1:14" ht="15.75" thickBot="1" x14ac:dyDescent="0.3">
      <c r="A6" s="32">
        <v>3</v>
      </c>
      <c r="B6" s="33" t="s">
        <v>13</v>
      </c>
      <c r="C6" s="143">
        <f>[1]STA_SP1_NO!$G$24</f>
        <v>45217.04</v>
      </c>
      <c r="D6" s="118">
        <f>[2]STA_SP1_NO!$G$24</f>
        <v>36339.64</v>
      </c>
      <c r="E6" s="143">
        <f>[3]STA_SP1_NO!$G$24</f>
        <v>21197</v>
      </c>
      <c r="F6" s="118">
        <f>[4]STA_SP1_NO!$G$24</f>
        <v>73867.429999999993</v>
      </c>
      <c r="G6" s="61">
        <f>[5]STA_SP1_NO!$G$24</f>
        <v>29546</v>
      </c>
      <c r="H6" s="144">
        <f>[6]STA_SP1_NO!$G$24</f>
        <v>6335.65</v>
      </c>
      <c r="I6" s="61">
        <f>[7]STA_SP1_NO!$G$24</f>
        <v>31638</v>
      </c>
      <c r="J6" s="68">
        <f>[8]STA_SP1_NO!$G$24</f>
        <v>34304</v>
      </c>
      <c r="K6" s="117">
        <f>[9]STA_SP1_NO!$G$24</f>
        <v>30999</v>
      </c>
      <c r="L6" s="68">
        <f>[10]STA_SP1_NO!$G$24</f>
        <v>36184</v>
      </c>
      <c r="M6" s="332">
        <f>[11]STA_SP1_NO!$G$24</f>
        <v>1722.41</v>
      </c>
      <c r="N6" s="249">
        <f t="shared" si="0"/>
        <v>347350.17</v>
      </c>
    </row>
    <row r="7" spans="1:14" ht="15.75" thickBot="1" x14ac:dyDescent="0.3">
      <c r="A7" s="32">
        <v>4</v>
      </c>
      <c r="B7" s="33" t="s">
        <v>14</v>
      </c>
      <c r="C7" s="143">
        <f>[1]STA_SP1_NO!$G$27</f>
        <v>0</v>
      </c>
      <c r="D7" s="118">
        <f>[2]STA_SP1_NO!$G$27</f>
        <v>0</v>
      </c>
      <c r="E7" s="143">
        <f>[3]STA_SP1_NO!$G$27</f>
        <v>0</v>
      </c>
      <c r="F7" s="118">
        <f>[4]STA_SP1_NO!$G$27</f>
        <v>0</v>
      </c>
      <c r="G7" s="61">
        <f>[5]STA_SP1_NO!$G$27</f>
        <v>0</v>
      </c>
      <c r="H7" s="144">
        <f>[6]STA_SP1_NO!$G$27</f>
        <v>0</v>
      </c>
      <c r="I7" s="61">
        <f>[7]STA_SP1_NO!$G$27</f>
        <v>0</v>
      </c>
      <c r="J7" s="68">
        <f>[8]STA_SP1_NO!$G$27</f>
        <v>0</v>
      </c>
      <c r="K7" s="117">
        <f>[9]STA_SP1_NO!$G$27</f>
        <v>0</v>
      </c>
      <c r="L7" s="68">
        <f>[10]STA_SP1_NO!$G$27</f>
        <v>0</v>
      </c>
      <c r="M7" s="332">
        <f>[11]STA_SP1_NO!$G$27</f>
        <v>0</v>
      </c>
      <c r="N7" s="249">
        <f t="shared" si="0"/>
        <v>0</v>
      </c>
    </row>
    <row r="8" spans="1:14" ht="15.75" thickBot="1" x14ac:dyDescent="0.3">
      <c r="A8" s="32">
        <v>5</v>
      </c>
      <c r="B8" s="33" t="s">
        <v>15</v>
      </c>
      <c r="C8" s="143">
        <f>[1]STA_SP1_NO!$G$30</f>
        <v>0</v>
      </c>
      <c r="D8" s="118">
        <f>[2]STA_SP1_NO!$G$30</f>
        <v>134.13</v>
      </c>
      <c r="E8" s="143">
        <f>[3]STA_SP1_NO!$G$30</f>
        <v>0</v>
      </c>
      <c r="F8" s="118">
        <f>[4]STA_SP1_NO!$G$30</f>
        <v>0</v>
      </c>
      <c r="G8" s="61">
        <f>[5]STA_SP1_NO!$G$30</f>
        <v>0</v>
      </c>
      <c r="H8" s="144">
        <f>[6]STA_SP1_NO!$G$30</f>
        <v>0</v>
      </c>
      <c r="I8" s="61">
        <f>[7]STA_SP1_NO!$G$30</f>
        <v>0</v>
      </c>
      <c r="J8" s="68">
        <f>[8]STA_SP1_NO!$G$30</f>
        <v>433</v>
      </c>
      <c r="K8" s="117">
        <f>[9]STA_SP1_NO!$G$30</f>
        <v>0</v>
      </c>
      <c r="L8" s="68">
        <f>[10]STA_SP1_NO!$G$30</f>
        <v>0</v>
      </c>
      <c r="M8" s="332">
        <f>[11]STA_SP1_NO!$G$30</f>
        <v>0</v>
      </c>
      <c r="N8" s="249">
        <f t="shared" si="0"/>
        <v>567.13</v>
      </c>
    </row>
    <row r="9" spans="1:14" ht="15.75" thickBot="1" x14ac:dyDescent="0.3">
      <c r="A9" s="32">
        <v>6</v>
      </c>
      <c r="B9" s="33" t="s">
        <v>16</v>
      </c>
      <c r="C9" s="143">
        <f>[1]STA_SP1_NO!$G$33</f>
        <v>0</v>
      </c>
      <c r="D9" s="118">
        <f>[2]STA_SP1_NO!$G$33</f>
        <v>0</v>
      </c>
      <c r="E9" s="143">
        <f>[3]STA_SP1_NO!$G$33</f>
        <v>0</v>
      </c>
      <c r="F9" s="118">
        <f>[4]STA_SP1_NO!$G$33</f>
        <v>7.64</v>
      </c>
      <c r="G9" s="61">
        <f>[5]STA_SP1_NO!$G$33</f>
        <v>0</v>
      </c>
      <c r="H9" s="144">
        <f>[6]STA_SP1_NO!$G$33</f>
        <v>0</v>
      </c>
      <c r="I9" s="61">
        <f>[7]STA_SP1_NO!$G$33</f>
        <v>0</v>
      </c>
      <c r="J9" s="68">
        <f>[8]STA_SP1_NO!$G$33</f>
        <v>0</v>
      </c>
      <c r="K9" s="117">
        <f>[9]STA_SP1_NO!$G$33</f>
        <v>0</v>
      </c>
      <c r="L9" s="68">
        <f>[10]STA_SP1_NO!$G$33</f>
        <v>0</v>
      </c>
      <c r="M9" s="332">
        <f>[11]STA_SP1_NO!$G$33</f>
        <v>0</v>
      </c>
      <c r="N9" s="249">
        <f t="shared" si="0"/>
        <v>7.64</v>
      </c>
    </row>
    <row r="10" spans="1:14" ht="15.75" thickBot="1" x14ac:dyDescent="0.3">
      <c r="A10" s="32">
        <v>7</v>
      </c>
      <c r="B10" s="33" t="s">
        <v>17</v>
      </c>
      <c r="C10" s="143">
        <f>[1]STA_SP1_NO!$G$36</f>
        <v>48.68</v>
      </c>
      <c r="D10" s="118">
        <f>[2]STA_SP1_NO!$G$36</f>
        <v>53842.37</v>
      </c>
      <c r="E10" s="143">
        <f>[3]STA_SP1_NO!$G$36</f>
        <v>111</v>
      </c>
      <c r="F10" s="118">
        <f>[4]STA_SP1_NO!$G$36</f>
        <v>0</v>
      </c>
      <c r="G10" s="61">
        <f>[5]STA_SP1_NO!$G$36</f>
        <v>0</v>
      </c>
      <c r="H10" s="144">
        <f>[6]STA_SP1_NO!$G$36</f>
        <v>0</v>
      </c>
      <c r="I10" s="61">
        <f>[7]STA_SP1_NO!$G$36</f>
        <v>37</v>
      </c>
      <c r="J10" s="68">
        <f>[8]STA_SP1_NO!$G$36</f>
        <v>93</v>
      </c>
      <c r="K10" s="117">
        <f>[9]STA_SP1_NO!$G$36</f>
        <v>2.0099999999999998</v>
      </c>
      <c r="L10" s="68">
        <f>[10]STA_SP1_NO!$G$36</f>
        <v>0</v>
      </c>
      <c r="M10" s="332">
        <f>[11]STA_SP1_NO!$G$36</f>
        <v>0</v>
      </c>
      <c r="N10" s="249">
        <f t="shared" si="0"/>
        <v>54134.060000000005</v>
      </c>
    </row>
    <row r="11" spans="1:14" ht="15.75" thickBot="1" x14ac:dyDescent="0.3">
      <c r="A11" s="32">
        <v>8</v>
      </c>
      <c r="B11" s="33" t="s">
        <v>18</v>
      </c>
      <c r="C11" s="143">
        <f>[1]STA_SP1_NO!$G$40</f>
        <v>23709.77</v>
      </c>
      <c r="D11" s="118">
        <f>[2]STA_SP1_NO!$G$40</f>
        <v>3500.54</v>
      </c>
      <c r="E11" s="143">
        <f>[3]STA_SP1_NO!$G$40</f>
        <v>450</v>
      </c>
      <c r="F11" s="118">
        <f>[4]STA_SP1_NO!$G$40</f>
        <v>25930.27</v>
      </c>
      <c r="G11" s="61">
        <f>[5]STA_SP1_NO!$G$40</f>
        <v>7367</v>
      </c>
      <c r="H11" s="144">
        <f>[6]STA_SP1_NO!$G$40</f>
        <v>69.16</v>
      </c>
      <c r="I11" s="61">
        <f>[7]STA_SP1_NO!$G$40</f>
        <v>6610</v>
      </c>
      <c r="J11" s="68">
        <f>[8]STA_SP1_NO!$G$40</f>
        <v>2732</v>
      </c>
      <c r="K11" s="117">
        <f>[9]STA_SP1_NO!$G$40</f>
        <v>987.13</v>
      </c>
      <c r="L11" s="68">
        <f>[10]STA_SP1_NO!$G$40</f>
        <v>2769</v>
      </c>
      <c r="M11" s="332">
        <f>[11]STA_SP1_NO!$G$40</f>
        <v>0</v>
      </c>
      <c r="N11" s="249">
        <f t="shared" si="0"/>
        <v>74124.87000000001</v>
      </c>
    </row>
    <row r="12" spans="1:14" ht="15.75" thickBot="1" x14ac:dyDescent="0.3">
      <c r="A12" s="32">
        <v>9</v>
      </c>
      <c r="B12" s="33" t="s">
        <v>19</v>
      </c>
      <c r="C12" s="143">
        <f>[1]STA_SP1_NO!$G$56</f>
        <v>41503.360000000001</v>
      </c>
      <c r="D12" s="118">
        <f>[2]STA_SP1_NO!$G$56</f>
        <v>17762.13</v>
      </c>
      <c r="E12" s="143">
        <f>[3]STA_SP1_NO!$G$56</f>
        <v>5413</v>
      </c>
      <c r="F12" s="118">
        <f>[4]STA_SP1_NO!$G$56</f>
        <v>43571.02</v>
      </c>
      <c r="G12" s="61">
        <f>[5]STA_SP1_NO!$G$56</f>
        <v>1025</v>
      </c>
      <c r="H12" s="144">
        <f>[6]STA_SP1_NO!$G$56</f>
        <v>38.31</v>
      </c>
      <c r="I12" s="61">
        <f>[7]STA_SP1_NO!$G$56</f>
        <v>3573</v>
      </c>
      <c r="J12" s="68">
        <f>[8]STA_SP1_NO!$G$56</f>
        <v>1059</v>
      </c>
      <c r="K12" s="117">
        <f>[9]STA_SP1_NO!$G$56</f>
        <v>1498.96</v>
      </c>
      <c r="L12" s="68">
        <f>[10]STA_SP1_NO!$G$56</f>
        <v>8096</v>
      </c>
      <c r="M12" s="332">
        <f>[11]STA_SP1_NO!$G$56</f>
        <v>0</v>
      </c>
      <c r="N12" s="249">
        <f t="shared" si="0"/>
        <v>123539.78000000001</v>
      </c>
    </row>
    <row r="13" spans="1:14" ht="15.75" thickBot="1" x14ac:dyDescent="0.3">
      <c r="A13" s="32">
        <v>10</v>
      </c>
      <c r="B13" s="33" t="s">
        <v>20</v>
      </c>
      <c r="C13" s="143">
        <f>[1]STA_SP1_NO!$G$88</f>
        <v>191095.69</v>
      </c>
      <c r="D13" s="118">
        <f>[2]STA_SP1_NO!$G$88</f>
        <v>93967.15</v>
      </c>
      <c r="E13" s="143">
        <f>[3]STA_SP1_NO!$G$88</f>
        <v>76991</v>
      </c>
      <c r="F13" s="118">
        <f>[4]STA_SP1_NO!$G$88</f>
        <v>111820.14</v>
      </c>
      <c r="G13" s="61">
        <f>[5]STA_SP1_NO!$G$88</f>
        <v>97832</v>
      </c>
      <c r="H13" s="144">
        <f>[6]STA_SP1_NO!$G$88</f>
        <v>133309.72</v>
      </c>
      <c r="I13" s="61">
        <f>[7]STA_SP1_NO!$G$88</f>
        <v>227084</v>
      </c>
      <c r="J13" s="68">
        <f>[8]STA_SP1_NO!$G$88</f>
        <v>90925</v>
      </c>
      <c r="K13" s="117">
        <f>[9]STA_SP1_NO!$G$88</f>
        <v>105034.47</v>
      </c>
      <c r="L13" s="68">
        <f>[10]STA_SP1_NO!$G$88</f>
        <v>129504</v>
      </c>
      <c r="M13" s="332">
        <f>[11]STA_SP1_NO!$G$88</f>
        <v>5517.33</v>
      </c>
      <c r="N13" s="249">
        <f t="shared" si="0"/>
        <v>1263080.5</v>
      </c>
    </row>
    <row r="14" spans="1:14" ht="15.75" thickBot="1" x14ac:dyDescent="0.3">
      <c r="A14" s="32">
        <v>11</v>
      </c>
      <c r="B14" s="33" t="s">
        <v>21</v>
      </c>
      <c r="C14" s="143">
        <f>[1]STA_SP1_NO!$G$124</f>
        <v>0</v>
      </c>
      <c r="D14" s="118">
        <f>[2]STA_SP1_NO!$G$124</f>
        <v>0</v>
      </c>
      <c r="E14" s="143">
        <f>[3]STA_SP1_NO!$G$124</f>
        <v>0</v>
      </c>
      <c r="F14" s="118">
        <f>[4]STA_SP1_NO!$G$124</f>
        <v>0</v>
      </c>
      <c r="G14" s="61">
        <f>[5]STA_SP1_NO!$G$124</f>
        <v>0</v>
      </c>
      <c r="H14" s="144">
        <f>[6]STA_SP1_NO!$G$124</f>
        <v>0</v>
      </c>
      <c r="I14" s="61">
        <f>[7]STA_SP1_NO!$G$124</f>
        <v>0</v>
      </c>
      <c r="J14" s="68">
        <f>[8]STA_SP1_NO!$G$124</f>
        <v>0</v>
      </c>
      <c r="K14" s="117">
        <f>[9]STA_SP1_NO!$G$124</f>
        <v>0</v>
      </c>
      <c r="L14" s="68">
        <f>[10]STA_SP1_NO!$G$124</f>
        <v>0</v>
      </c>
      <c r="M14" s="332">
        <f>[11]STA_SP1_NO!$G$124</f>
        <v>0</v>
      </c>
      <c r="N14" s="249">
        <f t="shared" si="0"/>
        <v>0</v>
      </c>
    </row>
    <row r="15" spans="1:14" ht="15.75" thickBot="1" x14ac:dyDescent="0.3">
      <c r="A15" s="32">
        <v>12</v>
      </c>
      <c r="B15" s="33" t="s">
        <v>22</v>
      </c>
      <c r="C15" s="143">
        <f>[1]STA_SP1_NO!$G$128</f>
        <v>0</v>
      </c>
      <c r="D15" s="118">
        <f>[2]STA_SP1_NO!$G$128</f>
        <v>0</v>
      </c>
      <c r="E15" s="143">
        <f>[3]STA_SP1_NO!$G$128</f>
        <v>0</v>
      </c>
      <c r="F15" s="118">
        <f>[4]STA_SP1_NO!$G$128</f>
        <v>0</v>
      </c>
      <c r="G15" s="61">
        <f>[5]STA_SP1_NO!$G$128</f>
        <v>0</v>
      </c>
      <c r="H15" s="144">
        <f>[6]STA_SP1_NO!$G$128</f>
        <v>0</v>
      </c>
      <c r="I15" s="61">
        <f>[7]STA_SP1_NO!$G$128</f>
        <v>0</v>
      </c>
      <c r="J15" s="68">
        <f>[8]STA_SP1_NO!$G$128</f>
        <v>0</v>
      </c>
      <c r="K15" s="117">
        <f>[9]STA_SP1_NO!$G$128</f>
        <v>0</v>
      </c>
      <c r="L15" s="68">
        <f>[10]STA_SP1_NO!$G$128</f>
        <v>0</v>
      </c>
      <c r="M15" s="332">
        <f>[11]STA_SP1_NO!$G$128</f>
        <v>0</v>
      </c>
      <c r="N15" s="249">
        <f t="shared" si="0"/>
        <v>0</v>
      </c>
    </row>
    <row r="16" spans="1:14" ht="15.75" thickBot="1" x14ac:dyDescent="0.3">
      <c r="A16" s="32">
        <v>13</v>
      </c>
      <c r="B16" s="33" t="s">
        <v>23</v>
      </c>
      <c r="C16" s="143">
        <f>[1]STA_SP1_NO!$G$132</f>
        <v>2827.82</v>
      </c>
      <c r="D16" s="118">
        <f>[2]STA_SP1_NO!$G$132</f>
        <v>377.54</v>
      </c>
      <c r="E16" s="143">
        <f>[3]STA_SP1_NO!$G$132</f>
        <v>401</v>
      </c>
      <c r="F16" s="118">
        <f>[4]STA_SP1_NO!$G$132</f>
        <v>889.55</v>
      </c>
      <c r="G16" s="61">
        <f>[5]STA_SP1_NO!$G$132</f>
        <v>952</v>
      </c>
      <c r="H16" s="144">
        <f>[6]STA_SP1_NO!$G$132</f>
        <v>5.14</v>
      </c>
      <c r="I16" s="61">
        <f>[7]STA_SP1_NO!$G$132</f>
        <v>2285</v>
      </c>
      <c r="J16" s="68">
        <f>[8]STA_SP1_NO!$G$132</f>
        <v>368</v>
      </c>
      <c r="K16" s="117">
        <f>[9]STA_SP1_NO!$G$132</f>
        <v>17.38</v>
      </c>
      <c r="L16" s="68">
        <f>[10]STA_SP1_NO!$G$132</f>
        <v>860</v>
      </c>
      <c r="M16" s="332">
        <f>[11]STA_SP1_NO!$G$132</f>
        <v>0</v>
      </c>
      <c r="N16" s="249">
        <f t="shared" si="0"/>
        <v>8983.43</v>
      </c>
    </row>
    <row r="17" spans="1:14" ht="15.75" thickBot="1" x14ac:dyDescent="0.3">
      <c r="A17" s="32">
        <v>14</v>
      </c>
      <c r="B17" s="33" t="s">
        <v>24</v>
      </c>
      <c r="C17" s="143">
        <f>[1]STA_SP1_NO!$G$153</f>
        <v>29.77</v>
      </c>
      <c r="D17" s="118">
        <f>[2]STA_SP1_NO!$G$153</f>
        <v>501.49</v>
      </c>
      <c r="E17" s="143">
        <f>[3]STA_SP1_NO!$G$153</f>
        <v>0</v>
      </c>
      <c r="F17" s="118">
        <f>[4]STA_SP1_NO!$G$153</f>
        <v>0</v>
      </c>
      <c r="G17" s="61">
        <f>[5]STA_SP1_NO!$G$153</f>
        <v>0</v>
      </c>
      <c r="H17" s="144">
        <f>[6]STA_SP1_NO!$G$153</f>
        <v>0</v>
      </c>
      <c r="I17" s="61">
        <f>[7]STA_SP1_NO!$G$153</f>
        <v>0</v>
      </c>
      <c r="J17" s="68">
        <f>[8]STA_SP1_NO!$G$153</f>
        <v>0</v>
      </c>
      <c r="K17" s="117">
        <f>[9]STA_SP1_NO!$G$153</f>
        <v>329.52</v>
      </c>
      <c r="L17" s="68">
        <f>[10]STA_SP1_NO!$G$153</f>
        <v>12</v>
      </c>
      <c r="M17" s="332">
        <f>[11]STA_SP1_NO!$G$153</f>
        <v>0</v>
      </c>
      <c r="N17" s="249">
        <f t="shared" si="0"/>
        <v>872.78</v>
      </c>
    </row>
    <row r="18" spans="1:14" ht="15.75" thickBot="1" x14ac:dyDescent="0.3">
      <c r="A18" s="32">
        <v>15</v>
      </c>
      <c r="B18" s="33" t="s">
        <v>25</v>
      </c>
      <c r="C18" s="143">
        <f>[1]STA_SP1_NO!$G$158</f>
        <v>0</v>
      </c>
      <c r="D18" s="118">
        <f>[2]STA_SP1_NO!$G$158</f>
        <v>0</v>
      </c>
      <c r="E18" s="143">
        <f>[3]STA_SP1_NO!$G$158</f>
        <v>0</v>
      </c>
      <c r="F18" s="118">
        <f>[4]STA_SP1_NO!$G$158</f>
        <v>0</v>
      </c>
      <c r="G18" s="61">
        <f>[5]STA_SP1_NO!$G$158</f>
        <v>0</v>
      </c>
      <c r="H18" s="144">
        <f>[6]STA_SP1_NO!$G$158</f>
        <v>0</v>
      </c>
      <c r="I18" s="61">
        <f>[7]STA_SP1_NO!$G$158</f>
        <v>0</v>
      </c>
      <c r="J18" s="68">
        <f>[8]STA_SP1_NO!$G$158</f>
        <v>0</v>
      </c>
      <c r="K18" s="117">
        <f>[9]STA_SP1_NO!$G$158</f>
        <v>0</v>
      </c>
      <c r="L18" s="68">
        <f>[10]STA_SP1_NO!$G$158</f>
        <v>0</v>
      </c>
      <c r="M18" s="332">
        <f>[11]STA_SP1_NO!$G$158</f>
        <v>0</v>
      </c>
      <c r="N18" s="249">
        <f t="shared" si="0"/>
        <v>0</v>
      </c>
    </row>
    <row r="19" spans="1:14" ht="15.75" thickBot="1" x14ac:dyDescent="0.3">
      <c r="A19" s="32">
        <v>16</v>
      </c>
      <c r="B19" s="33" t="s">
        <v>26</v>
      </c>
      <c r="C19" s="143">
        <f>[1]STA_SP1_NO!$G$161</f>
        <v>484.18</v>
      </c>
      <c r="D19" s="118">
        <f>[2]STA_SP1_NO!$G$161</f>
        <v>0</v>
      </c>
      <c r="E19" s="143">
        <f>[3]STA_SP1_NO!$G$161</f>
        <v>0</v>
      </c>
      <c r="F19" s="118">
        <f>[4]STA_SP1_NO!$G$161</f>
        <v>2115.98</v>
      </c>
      <c r="G19" s="61">
        <f>[5]STA_SP1_NO!$G$161</f>
        <v>0</v>
      </c>
      <c r="H19" s="144">
        <f>[6]STA_SP1_NO!$G$161</f>
        <v>0</v>
      </c>
      <c r="I19" s="61">
        <f>[7]STA_SP1_NO!$G$161</f>
        <v>1923</v>
      </c>
      <c r="J19" s="68">
        <f>[8]STA_SP1_NO!$G$161</f>
        <v>0</v>
      </c>
      <c r="K19" s="117">
        <f>[9]STA_SP1_NO!$G$161</f>
        <v>23.05</v>
      </c>
      <c r="L19" s="68">
        <f>[10]STA_SP1_NO!$G$161</f>
        <v>1162</v>
      </c>
      <c r="M19" s="332">
        <f>[11]STA_SP1_NO!$G$161</f>
        <v>0</v>
      </c>
      <c r="N19" s="249">
        <f t="shared" si="0"/>
        <v>5708.21</v>
      </c>
    </row>
    <row r="20" spans="1:14" ht="15.75" thickBot="1" x14ac:dyDescent="0.3">
      <c r="A20" s="32">
        <v>17</v>
      </c>
      <c r="B20" s="33" t="s">
        <v>27</v>
      </c>
      <c r="C20" s="143">
        <f>[1]STA_SP1_NO!$G$167</f>
        <v>0</v>
      </c>
      <c r="D20" s="118">
        <f>[2]STA_SP1_NO!$G$167</f>
        <v>0</v>
      </c>
      <c r="E20" s="143">
        <f>[3]STA_SP1_NO!$G$167</f>
        <v>0</v>
      </c>
      <c r="F20" s="118">
        <f>[4]STA_SP1_NO!$G$167</f>
        <v>0</v>
      </c>
      <c r="G20" s="61">
        <f>[5]STA_SP1_NO!$G$167</f>
        <v>0</v>
      </c>
      <c r="H20" s="144">
        <f>[6]STA_SP1_NO!$G$167</f>
        <v>0</v>
      </c>
      <c r="I20" s="61">
        <f>[7]STA_SP1_NO!$G$167</f>
        <v>0</v>
      </c>
      <c r="J20" s="68">
        <f>[8]STA_SP1_NO!$G$167</f>
        <v>0</v>
      </c>
      <c r="K20" s="117">
        <f>[9]STA_SP1_NO!$G$167</f>
        <v>0</v>
      </c>
      <c r="L20" s="68">
        <f>[10]STA_SP1_NO!$G$167</f>
        <v>0</v>
      </c>
      <c r="M20" s="332">
        <f>[11]STA_SP1_NO!$G$167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43">
        <f>[1]STA_SP1_NO!$G$170</f>
        <v>5034.87</v>
      </c>
      <c r="D21" s="118">
        <f>[2]STA_SP1_NO!$G$170</f>
        <v>8960.5499999999993</v>
      </c>
      <c r="E21" s="143">
        <f>[3]STA_SP1_NO!$G$170</f>
        <v>2092</v>
      </c>
      <c r="F21" s="118">
        <f>[4]STA_SP1_NO!$G$170</f>
        <v>13200.59</v>
      </c>
      <c r="G21" s="61">
        <f>[5]STA_SP1_NO!$G$170</f>
        <v>7090</v>
      </c>
      <c r="H21" s="144">
        <f>[6]STA_SP1_NO!$G$170</f>
        <v>941.02</v>
      </c>
      <c r="I21" s="61">
        <f>[7]STA_SP1_NO!$G$170</f>
        <v>3165</v>
      </c>
      <c r="J21" s="68">
        <f>[8]STA_SP1_NO!$G$170</f>
        <v>1512</v>
      </c>
      <c r="K21" s="117">
        <f>[9]STA_SP1_NO!$G$170</f>
        <v>3224.97</v>
      </c>
      <c r="L21" s="68">
        <f>[10]STA_SP1_NO!$G$170</f>
        <v>2851</v>
      </c>
      <c r="M21" s="332">
        <f>[11]STA_SP1_NO!$G$170</f>
        <v>51.77</v>
      </c>
      <c r="N21" s="249">
        <f t="shared" si="0"/>
        <v>48123.76999999999</v>
      </c>
    </row>
    <row r="22" spans="1:14" ht="15.75" thickBot="1" x14ac:dyDescent="0.3">
      <c r="A22" s="36"/>
      <c r="B22" s="37" t="s">
        <v>36</v>
      </c>
      <c r="C22" s="110">
        <f t="shared" ref="C22:N22" si="1">SUM(C4:C21)</f>
        <v>425453.69</v>
      </c>
      <c r="D22" s="39">
        <f t="shared" si="1"/>
        <v>319726.89999999997</v>
      </c>
      <c r="E22" s="40">
        <f t="shared" si="1"/>
        <v>117905</v>
      </c>
      <c r="F22" s="39">
        <f t="shared" si="1"/>
        <v>333738.7</v>
      </c>
      <c r="G22" s="41">
        <f t="shared" si="1"/>
        <v>253875</v>
      </c>
      <c r="H22" s="42">
        <f t="shared" si="1"/>
        <v>145810.91</v>
      </c>
      <c r="I22" s="41">
        <f t="shared" si="1"/>
        <v>344577</v>
      </c>
      <c r="J22" s="338">
        <f t="shared" si="1"/>
        <v>140057</v>
      </c>
      <c r="K22" s="350">
        <f t="shared" si="1"/>
        <v>208612.51</v>
      </c>
      <c r="L22" s="42">
        <f t="shared" si="1"/>
        <v>309253</v>
      </c>
      <c r="M22" s="333">
        <f t="shared" si="1"/>
        <v>7346.51</v>
      </c>
      <c r="N22" s="250">
        <f t="shared" si="1"/>
        <v>2606356.2200000002</v>
      </c>
    </row>
    <row r="23" spans="1:14" ht="15.75" thickBot="1" x14ac:dyDescent="0.3">
      <c r="A23" s="43"/>
      <c r="B23" s="44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341"/>
      <c r="N23" s="46"/>
    </row>
    <row r="24" spans="1:14" ht="15.75" thickBot="1" x14ac:dyDescent="0.3">
      <c r="A24" s="469" t="s">
        <v>30</v>
      </c>
      <c r="B24" s="470"/>
      <c r="C24" s="48">
        <f>C22/N22</f>
        <v>0.16323696919678921</v>
      </c>
      <c r="D24" s="47">
        <f>D22/N22</f>
        <v>0.12267198840533008</v>
      </c>
      <c r="E24" s="48">
        <f>E22/N22</f>
        <v>4.5237484843879086E-2</v>
      </c>
      <c r="F24" s="47">
        <f>F22/N22</f>
        <v>0.12804799951711895</v>
      </c>
      <c r="G24" s="48">
        <f>G22/N22</f>
        <v>9.7406102071496567E-2</v>
      </c>
      <c r="H24" s="336">
        <f>H22/N22</f>
        <v>5.5944352073255738E-2</v>
      </c>
      <c r="I24" s="48">
        <f>I22/N22</f>
        <v>0.13220641037317607</v>
      </c>
      <c r="J24" s="47">
        <f>J22/N22</f>
        <v>5.3736706795972804E-2</v>
      </c>
      <c r="K24" s="161">
        <f>K22/N22</f>
        <v>8.0039907208079172E-2</v>
      </c>
      <c r="L24" s="47">
        <f>L22/N22</f>
        <v>0.11865338959691395</v>
      </c>
      <c r="M24" s="342">
        <f>M22/N22</f>
        <v>2.8186899179882632E-3</v>
      </c>
      <c r="N24" s="251">
        <f>SUM(C24:M24)</f>
        <v>0.99999999999999989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.75" thickBot="1" x14ac:dyDescent="0.3">
      <c r="A26" s="475" t="s">
        <v>0</v>
      </c>
      <c r="B26" s="477" t="s">
        <v>1</v>
      </c>
      <c r="C26" s="450" t="s">
        <v>89</v>
      </c>
      <c r="D26" s="451"/>
      <c r="E26" s="451"/>
      <c r="F26" s="451"/>
      <c r="G26" s="451"/>
      <c r="H26" s="452"/>
      <c r="I26" s="431" t="s">
        <v>3</v>
      </c>
      <c r="J26" s="162"/>
      <c r="K26" s="1"/>
      <c r="L26" s="1"/>
      <c r="M26" s="1"/>
      <c r="N26" s="1"/>
    </row>
    <row r="27" spans="1:14" ht="15.75" thickBot="1" x14ac:dyDescent="0.3">
      <c r="A27" s="476"/>
      <c r="B27" s="478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32"/>
      <c r="J27" s="81"/>
      <c r="K27" s="479" t="s">
        <v>32</v>
      </c>
      <c r="L27" s="480"/>
      <c r="M27" s="232">
        <f>N22</f>
        <v>2606356.2200000002</v>
      </c>
      <c r="N27" s="233">
        <f>M27/M29</f>
        <v>0.76339940623610425</v>
      </c>
    </row>
    <row r="28" spans="1:14" ht="15.75" thickBot="1" x14ac:dyDescent="0.3">
      <c r="A28" s="184">
        <v>19</v>
      </c>
      <c r="B28" s="185" t="s">
        <v>33</v>
      </c>
      <c r="C28" s="183">
        <f>[12]STA_SP2_ZO!$N$51+[12]STA_SP2_ZO!$O$51</f>
        <v>312841</v>
      </c>
      <c r="D28" s="343">
        <f>[13]STA_SP2_ZO!$N$51+[13]STA_SP2_ZO!$O$51</f>
        <v>156223</v>
      </c>
      <c r="E28" s="183">
        <f>[14]STA_SP2_ZO!$O$51</f>
        <v>103560.79</v>
      </c>
      <c r="F28" s="186">
        <f>[15]STA_SP2_ZO!$N$51+[15]STA_SP2_ZO!$O$51</f>
        <v>49488</v>
      </c>
      <c r="G28" s="187">
        <f>[16]STA_SP2_ZO!$N$51+[16]STA_SP2_ZO!$O$51</f>
        <v>183587.96</v>
      </c>
      <c r="H28" s="188">
        <f>[17]STA_SP2_ZO!$N$51+[17]STA_SP2_ZO!$O$51</f>
        <v>2087.9699999999998</v>
      </c>
      <c r="I28" s="230">
        <f>SUM(C28:H28)</f>
        <v>807788.72</v>
      </c>
      <c r="J28" s="81"/>
      <c r="K28" s="471" t="s">
        <v>33</v>
      </c>
      <c r="L28" s="472"/>
      <c r="M28" s="234">
        <f>I28</f>
        <v>807788.72</v>
      </c>
      <c r="N28" s="235">
        <f>M28/M29</f>
        <v>0.23660059376389564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73" t="s">
        <v>3</v>
      </c>
      <c r="L29" s="474"/>
      <c r="M29" s="236">
        <f>M27+M28</f>
        <v>3414144.9400000004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0.38728072360307286</v>
      </c>
      <c r="D30" s="82">
        <f>D28/I28</f>
        <v>0.19339586717675386</v>
      </c>
      <c r="E30" s="23">
        <f>E28/I28</f>
        <v>0.12820281768727843</v>
      </c>
      <c r="F30" s="82">
        <f>F28/I28</f>
        <v>6.1263544259444476E-2</v>
      </c>
      <c r="G30" s="23">
        <f>G28/I28</f>
        <v>0.22727225010024898</v>
      </c>
      <c r="H30" s="82">
        <f>H28/I28</f>
        <v>2.5847971732014282E-3</v>
      </c>
      <c r="I30" s="231">
        <f>I28/I28</f>
        <v>1</v>
      </c>
      <c r="J30" s="1"/>
      <c r="K30" s="1"/>
      <c r="L30" s="1"/>
      <c r="M30" s="1"/>
      <c r="N30" s="1"/>
    </row>
    <row r="35" spans="4:4" x14ac:dyDescent="0.25">
      <c r="D35" s="163"/>
    </row>
  </sheetData>
  <mergeCells count="14">
    <mergeCell ref="A24:B24"/>
    <mergeCell ref="K28:L28"/>
    <mergeCell ref="K29:L29"/>
    <mergeCell ref="A30:B30"/>
    <mergeCell ref="A26:A27"/>
    <mergeCell ref="B26:B27"/>
    <mergeCell ref="K27:L27"/>
    <mergeCell ref="I26:I27"/>
    <mergeCell ref="C26:H26"/>
    <mergeCell ref="C1:K1"/>
    <mergeCell ref="A2:A3"/>
    <mergeCell ref="B2:B3"/>
    <mergeCell ref="N2:N3"/>
    <mergeCell ref="C2:M2"/>
  </mergeCells>
  <pageMargins left="0.25" right="0.25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activeCell="T18" sqref="T18"/>
    </sheetView>
  </sheetViews>
  <sheetFormatPr defaultRowHeight="15" x14ac:dyDescent="0.25"/>
  <cols>
    <col min="1" max="1" width="4.42578125" customWidth="1"/>
    <col min="2" max="2" width="28.42578125" customWidth="1"/>
    <col min="8" max="8" width="9.85546875" bestFit="1" customWidth="1"/>
  </cols>
  <sheetData>
    <row r="1" spans="1:14" ht="33" customHeight="1" thickBot="1" x14ac:dyDescent="0.3">
      <c r="A1" s="120"/>
      <c r="B1" s="120"/>
      <c r="C1" s="457" t="s">
        <v>100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26"/>
    </row>
    <row r="2" spans="1:14" ht="15.75" thickBot="1" x14ac:dyDescent="0.3">
      <c r="A2" s="460" t="s">
        <v>0</v>
      </c>
      <c r="B2" s="462" t="s">
        <v>1</v>
      </c>
      <c r="C2" s="486" t="s">
        <v>2</v>
      </c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64" t="s">
        <v>3</v>
      </c>
    </row>
    <row r="3" spans="1:14" ht="15.75" thickBot="1" x14ac:dyDescent="0.3">
      <c r="A3" s="461"/>
      <c r="B3" s="463"/>
      <c r="C3" s="226" t="s">
        <v>68</v>
      </c>
      <c r="D3" s="246" t="s">
        <v>4</v>
      </c>
      <c r="E3" s="247" t="s">
        <v>5</v>
      </c>
      <c r="F3" s="246" t="s">
        <v>6</v>
      </c>
      <c r="G3" s="248" t="s">
        <v>8</v>
      </c>
      <c r="H3" s="252" t="s">
        <v>93</v>
      </c>
      <c r="I3" s="416" t="s">
        <v>96</v>
      </c>
      <c r="J3" s="345" t="s">
        <v>9</v>
      </c>
      <c r="K3" s="228" t="s">
        <v>92</v>
      </c>
      <c r="L3" s="254" t="s">
        <v>10</v>
      </c>
      <c r="M3" s="346" t="s">
        <v>95</v>
      </c>
      <c r="N3" s="465"/>
    </row>
    <row r="4" spans="1:14" x14ac:dyDescent="0.25">
      <c r="A4" s="30">
        <v>1</v>
      </c>
      <c r="B4" s="31" t="s">
        <v>11</v>
      </c>
      <c r="C4" s="143">
        <f>[1]STA_SP1_NO!$F$10</f>
        <v>499</v>
      </c>
      <c r="D4" s="118">
        <f>[2]STA_SP1_NO!$F$10</f>
        <v>395</v>
      </c>
      <c r="E4" s="143">
        <f>[3]STA_SP1_NO!$F$10</f>
        <v>146</v>
      </c>
      <c r="F4" s="118">
        <f>[4]STA_SP1_NO!$F$10</f>
        <v>540</v>
      </c>
      <c r="G4" s="61">
        <f>[5]STA_SP1_NO!$F$10</f>
        <v>654</v>
      </c>
      <c r="H4" s="144">
        <f>[6]STA_SP1_NO!$F$10</f>
        <v>183</v>
      </c>
      <c r="I4" s="61">
        <f>[7]STA_SP1_NO!$F$10</f>
        <v>350</v>
      </c>
      <c r="J4" s="68">
        <f>[8]STA_SP1_NO!$F$10</f>
        <v>221</v>
      </c>
      <c r="K4" s="61">
        <f>[9]STA_SP1_NO!$F$10</f>
        <v>374</v>
      </c>
      <c r="L4" s="68">
        <f>[10]STA_SP1_NO!$F$10</f>
        <v>798</v>
      </c>
      <c r="M4" s="332">
        <f>[11]STA_SP1_NO!$F$10</f>
        <v>1</v>
      </c>
      <c r="N4" s="249">
        <f t="shared" ref="N4:N21" si="0">SUM(C4:M4)</f>
        <v>4161</v>
      </c>
    </row>
    <row r="5" spans="1:14" x14ac:dyDescent="0.25">
      <c r="A5" s="32">
        <v>2</v>
      </c>
      <c r="B5" s="33" t="s">
        <v>12</v>
      </c>
      <c r="C5" s="143">
        <f>[1]STA_SP1_NO!$F$20</f>
        <v>8488</v>
      </c>
      <c r="D5" s="118">
        <f>[2]STA_SP1_NO!$F$20</f>
        <v>7324</v>
      </c>
      <c r="E5" s="143">
        <f>[3]STA_SP1_NO!$F$20</f>
        <v>594</v>
      </c>
      <c r="F5" s="118">
        <f>[4]STA_SP1_NO!$F$20</f>
        <v>3365</v>
      </c>
      <c r="G5" s="61">
        <f>[5]STA_SP1_NO!$F$20</f>
        <v>5997</v>
      </c>
      <c r="H5" s="144">
        <f>[6]STA_SP1_NO!$F$20</f>
        <v>0</v>
      </c>
      <c r="I5" s="61">
        <f>[7]STA_SP1_NO!$F$20</f>
        <v>4568</v>
      </c>
      <c r="J5" s="68">
        <f>[8]STA_SP1_NO!$F$20</f>
        <v>0</v>
      </c>
      <c r="K5" s="61">
        <f>[9]STA_SP1_NO!$F$20</f>
        <v>4426</v>
      </c>
      <c r="L5" s="68">
        <f>[10]STA_SP1_NO!$F$20</f>
        <v>9750</v>
      </c>
      <c r="M5" s="332">
        <f>[11]STA_SP1_NO!$F$20</f>
        <v>0</v>
      </c>
      <c r="N5" s="249">
        <f t="shared" si="0"/>
        <v>44512</v>
      </c>
    </row>
    <row r="6" spans="1:14" x14ac:dyDescent="0.25">
      <c r="A6" s="32">
        <v>3</v>
      </c>
      <c r="B6" s="33" t="s">
        <v>13</v>
      </c>
      <c r="C6" s="143">
        <f>[1]STA_SP1_NO!$F$24</f>
        <v>454</v>
      </c>
      <c r="D6" s="118">
        <f>[2]STA_SP1_NO!$F$24</f>
        <v>478</v>
      </c>
      <c r="E6" s="143">
        <f>[3]STA_SP1_NO!$F$24</f>
        <v>348</v>
      </c>
      <c r="F6" s="118">
        <f>[4]STA_SP1_NO!$F$24</f>
        <v>640</v>
      </c>
      <c r="G6" s="61">
        <f>[5]STA_SP1_NO!$F$24</f>
        <v>292</v>
      </c>
      <c r="H6" s="144">
        <f>[6]STA_SP1_NO!$F$24</f>
        <v>104</v>
      </c>
      <c r="I6" s="61">
        <f>[7]STA_SP1_NO!$F$24</f>
        <v>276</v>
      </c>
      <c r="J6" s="68">
        <f>[8]STA_SP1_NO!$F$24</f>
        <v>313</v>
      </c>
      <c r="K6" s="61">
        <f>[9]STA_SP1_NO!$F$24</f>
        <v>315</v>
      </c>
      <c r="L6" s="68">
        <f>[10]STA_SP1_NO!$F$24</f>
        <v>354</v>
      </c>
      <c r="M6" s="332">
        <f>[11]STA_SP1_NO!$F$24</f>
        <v>4</v>
      </c>
      <c r="N6" s="249">
        <f t="shared" si="0"/>
        <v>3578</v>
      </c>
    </row>
    <row r="7" spans="1:14" x14ac:dyDescent="0.25">
      <c r="A7" s="32">
        <v>4</v>
      </c>
      <c r="B7" s="33" t="s">
        <v>14</v>
      </c>
      <c r="C7" s="143">
        <f>[1]STA_SP1_NO!$F$27</f>
        <v>0</v>
      </c>
      <c r="D7" s="118">
        <f>[2]STA_SP1_NO!$F$27</f>
        <v>0</v>
      </c>
      <c r="E7" s="143">
        <f>[3]STA_SP1_NO!$F$27</f>
        <v>0</v>
      </c>
      <c r="F7" s="118">
        <f>[4]STA_SP1_NO!$F$27</f>
        <v>0</v>
      </c>
      <c r="G7" s="61">
        <f>[5]STA_SP1_NO!$F$27</f>
        <v>0</v>
      </c>
      <c r="H7" s="144">
        <f>[6]STA_SP1_NO!$F$27</f>
        <v>0</v>
      </c>
      <c r="I7" s="61">
        <f>[7]STA_SP1_NO!$F$27</f>
        <v>0</v>
      </c>
      <c r="J7" s="68">
        <f>[8]STA_SP1_NO!$F$27</f>
        <v>0</v>
      </c>
      <c r="K7" s="61">
        <f>[9]STA_SP1_NO!$F$27</f>
        <v>0</v>
      </c>
      <c r="L7" s="68">
        <f>[10]STA_SP1_NO!$F$27</f>
        <v>0</v>
      </c>
      <c r="M7" s="332">
        <f>[11]STA_SP1_NO!$F$27</f>
        <v>0</v>
      </c>
      <c r="N7" s="249">
        <f t="shared" si="0"/>
        <v>0</v>
      </c>
    </row>
    <row r="8" spans="1:14" x14ac:dyDescent="0.25">
      <c r="A8" s="32">
        <v>5</v>
      </c>
      <c r="B8" s="33" t="s">
        <v>15</v>
      </c>
      <c r="C8" s="143">
        <f>[1]STA_SP1_NO!$F$30</f>
        <v>0</v>
      </c>
      <c r="D8" s="118">
        <f>[2]STA_SP1_NO!$F$30</f>
        <v>0</v>
      </c>
      <c r="E8" s="143">
        <f>[3]STA_SP1_NO!$F$30</f>
        <v>0</v>
      </c>
      <c r="F8" s="118">
        <f>[4]STA_SP1_NO!$F$30</f>
        <v>0</v>
      </c>
      <c r="G8" s="61">
        <f>[5]STA_SP1_NO!$F$30</f>
        <v>0</v>
      </c>
      <c r="H8" s="144">
        <f>[6]STA_SP1_NO!$F$30</f>
        <v>0</v>
      </c>
      <c r="I8" s="61">
        <f>[7]STA_SP1_NO!$F$30</f>
        <v>0</v>
      </c>
      <c r="J8" s="68">
        <f>[8]STA_SP1_NO!$F$30</f>
        <v>1</v>
      </c>
      <c r="K8" s="61">
        <f>[9]STA_SP1_NO!$F$30</f>
        <v>0</v>
      </c>
      <c r="L8" s="68">
        <f>[10]STA_SP1_NO!$F$30</f>
        <v>0</v>
      </c>
      <c r="M8" s="332">
        <f>[11]STA_SP1_NO!$F$30</f>
        <v>0</v>
      </c>
      <c r="N8" s="249">
        <f t="shared" si="0"/>
        <v>1</v>
      </c>
    </row>
    <row r="9" spans="1:14" x14ac:dyDescent="0.25">
      <c r="A9" s="32">
        <v>6</v>
      </c>
      <c r="B9" s="33" t="s">
        <v>16</v>
      </c>
      <c r="C9" s="143">
        <f>[1]STA_SP1_NO!$F$33</f>
        <v>0</v>
      </c>
      <c r="D9" s="118">
        <f>[2]STA_SP1_NO!$F$33</f>
        <v>0</v>
      </c>
      <c r="E9" s="143">
        <f>[3]STA_SP1_NO!$F$33</f>
        <v>0</v>
      </c>
      <c r="F9" s="118">
        <f>[4]STA_SP1_NO!$F$33</f>
        <v>1</v>
      </c>
      <c r="G9" s="61">
        <f>[5]STA_SP1_NO!$F$33</f>
        <v>0</v>
      </c>
      <c r="H9" s="144">
        <f>[6]STA_SP1_NO!$F$33</f>
        <v>0</v>
      </c>
      <c r="I9" s="61">
        <f>[7]STA_SP1_NO!$F$33</f>
        <v>0</v>
      </c>
      <c r="J9" s="68">
        <f>[8]STA_SP1_NO!$F$33</f>
        <v>0</v>
      </c>
      <c r="K9" s="61">
        <f>[9]STA_SP1_NO!$F$33</f>
        <v>0</v>
      </c>
      <c r="L9" s="68">
        <f>[10]STA_SP1_NO!$F$33</f>
        <v>0</v>
      </c>
      <c r="M9" s="332">
        <f>[11]STA_SP1_NO!$F$33</f>
        <v>0</v>
      </c>
      <c r="N9" s="249">
        <f t="shared" si="0"/>
        <v>1</v>
      </c>
    </row>
    <row r="10" spans="1:14" x14ac:dyDescent="0.25">
      <c r="A10" s="32">
        <v>7</v>
      </c>
      <c r="B10" s="33" t="s">
        <v>17</v>
      </c>
      <c r="C10" s="143">
        <f>[1]STA_SP1_NO!$F$36</f>
        <v>2</v>
      </c>
      <c r="D10" s="118">
        <f>[2]STA_SP1_NO!$F$36</f>
        <v>3</v>
      </c>
      <c r="E10" s="143">
        <f>[3]STA_SP1_NO!$F$36</f>
        <v>3</v>
      </c>
      <c r="F10" s="118">
        <f>[4]STA_SP1_NO!$F$36</f>
        <v>0</v>
      </c>
      <c r="G10" s="61">
        <f>[5]STA_SP1_NO!$F$36</f>
        <v>0</v>
      </c>
      <c r="H10" s="144">
        <f>[6]STA_SP1_NO!$F$36</f>
        <v>0</v>
      </c>
      <c r="I10" s="61">
        <f>[7]STA_SP1_NO!$F$36</f>
        <v>5</v>
      </c>
      <c r="J10" s="68">
        <f>[8]STA_SP1_NO!$F$36</f>
        <v>1</v>
      </c>
      <c r="K10" s="61">
        <f>[9]STA_SP1_NO!$F$36</f>
        <v>0</v>
      </c>
      <c r="L10" s="68">
        <f>[10]STA_SP1_NO!$F$36</f>
        <v>0</v>
      </c>
      <c r="M10" s="332">
        <f>[11]STA_SP1_NO!$F$36</f>
        <v>0</v>
      </c>
      <c r="N10" s="249">
        <f t="shared" si="0"/>
        <v>14</v>
      </c>
    </row>
    <row r="11" spans="1:14" x14ac:dyDescent="0.25">
      <c r="A11" s="32">
        <v>8</v>
      </c>
      <c r="B11" s="33" t="s">
        <v>18</v>
      </c>
      <c r="C11" s="143">
        <f>[1]STA_SP1_NO!$F$40</f>
        <v>29</v>
      </c>
      <c r="D11" s="118">
        <f>[2]STA_SP1_NO!$F$40</f>
        <v>28</v>
      </c>
      <c r="E11" s="143">
        <f>[3]STA_SP1_NO!$F$40</f>
        <v>6</v>
      </c>
      <c r="F11" s="118">
        <f>[4]STA_SP1_NO!$F$40</f>
        <v>58</v>
      </c>
      <c r="G11" s="61">
        <f>[5]STA_SP1_NO!$F$40</f>
        <v>154</v>
      </c>
      <c r="H11" s="144">
        <f>[6]STA_SP1_NO!$F$40</f>
        <v>3</v>
      </c>
      <c r="I11" s="61">
        <f>[7]STA_SP1_NO!$F$40</f>
        <v>11</v>
      </c>
      <c r="J11" s="68">
        <f>[8]STA_SP1_NO!$F$40</f>
        <v>31</v>
      </c>
      <c r="K11" s="61">
        <f>[9]STA_SP1_NO!$F$40</f>
        <v>20</v>
      </c>
      <c r="L11" s="68">
        <f>[10]STA_SP1_NO!$F$40</f>
        <v>19</v>
      </c>
      <c r="M11" s="332">
        <f>[11]STA_SP1_NO!$F$40</f>
        <v>0</v>
      </c>
      <c r="N11" s="249">
        <f t="shared" si="0"/>
        <v>359</v>
      </c>
    </row>
    <row r="12" spans="1:14" x14ac:dyDescent="0.25">
      <c r="A12" s="32">
        <v>9</v>
      </c>
      <c r="B12" s="33" t="s">
        <v>19</v>
      </c>
      <c r="C12" s="143">
        <f>[1]STA_SP1_NO!$F$56</f>
        <v>398</v>
      </c>
      <c r="D12" s="118">
        <f>[2]STA_SP1_NO!$F$56</f>
        <v>458</v>
      </c>
      <c r="E12" s="143">
        <f>[3]STA_SP1_NO!$F$56</f>
        <v>151</v>
      </c>
      <c r="F12" s="118">
        <f>[4]STA_SP1_NO!$F$56</f>
        <v>513</v>
      </c>
      <c r="G12" s="61">
        <f>[5]STA_SP1_NO!$F$56</f>
        <v>36</v>
      </c>
      <c r="H12" s="144">
        <f>[6]STA_SP1_NO!$F$56</f>
        <v>8</v>
      </c>
      <c r="I12" s="61">
        <f>[7]STA_SP1_NO!$F$56</f>
        <v>87</v>
      </c>
      <c r="J12" s="68">
        <f>[8]STA_SP1_NO!$F$56</f>
        <v>64</v>
      </c>
      <c r="K12" s="61">
        <f>[9]STA_SP1_NO!$F$56</f>
        <v>47</v>
      </c>
      <c r="L12" s="68">
        <f>[10]STA_SP1_NO!$F$56</f>
        <v>140</v>
      </c>
      <c r="M12" s="332">
        <f>[11]STA_SP1_NO!$F$56</f>
        <v>0</v>
      </c>
      <c r="N12" s="249">
        <f t="shared" si="0"/>
        <v>1902</v>
      </c>
    </row>
    <row r="13" spans="1:14" x14ac:dyDescent="0.25">
      <c r="A13" s="32">
        <v>10</v>
      </c>
      <c r="B13" s="33" t="s">
        <v>20</v>
      </c>
      <c r="C13" s="143">
        <f>[1]STA_SP1_NO!$F$88</f>
        <v>2405</v>
      </c>
      <c r="D13" s="118">
        <f>[2]STA_SP1_NO!$F$88</f>
        <v>1185</v>
      </c>
      <c r="E13" s="143">
        <f>[3]STA_SP1_NO!$F$88</f>
        <v>863</v>
      </c>
      <c r="F13" s="118">
        <f>[4]STA_SP1_NO!$F$88</f>
        <v>1371</v>
      </c>
      <c r="G13" s="61">
        <f>[5]STA_SP1_NO!$F$88</f>
        <v>1159</v>
      </c>
      <c r="H13" s="144">
        <f>[6]STA_SP1_NO!$F$88</f>
        <v>2200</v>
      </c>
      <c r="I13" s="61">
        <f>[7]STA_SP1_NO!$F$88</f>
        <v>3125</v>
      </c>
      <c r="J13" s="68">
        <f>[8]STA_SP1_NO!$F$88</f>
        <v>1446</v>
      </c>
      <c r="K13" s="61">
        <f>[9]STA_SP1_NO!$F$88</f>
        <v>997</v>
      </c>
      <c r="L13" s="68">
        <f>[10]STA_SP1_NO!$F$88</f>
        <v>1716</v>
      </c>
      <c r="M13" s="332">
        <f>[11]STA_SP1_NO!$F$88</f>
        <v>72</v>
      </c>
      <c r="N13" s="249">
        <f t="shared" si="0"/>
        <v>16539</v>
      </c>
    </row>
    <row r="14" spans="1:14" x14ac:dyDescent="0.25">
      <c r="A14" s="32">
        <v>11</v>
      </c>
      <c r="B14" s="33" t="s">
        <v>21</v>
      </c>
      <c r="C14" s="143">
        <f>[1]STA_SP1_NO!$F$124</f>
        <v>0</v>
      </c>
      <c r="D14" s="118">
        <f>[2]STA_SP1_NO!$F$124</f>
        <v>0</v>
      </c>
      <c r="E14" s="143">
        <f>[3]STA_SP1_NO!$F$124</f>
        <v>0</v>
      </c>
      <c r="F14" s="118">
        <f>[4]STA_SP1_NO!$F$124</f>
        <v>0</v>
      </c>
      <c r="G14" s="61">
        <f>[5]STA_SP1_NO!$F$124</f>
        <v>0</v>
      </c>
      <c r="H14" s="144">
        <f>[6]STA_SP1_NO!$F$124</f>
        <v>0</v>
      </c>
      <c r="I14" s="61">
        <f>[7]STA_SP1_NO!$F$124</f>
        <v>0</v>
      </c>
      <c r="J14" s="68">
        <f>[8]STA_SP1_NO!$F$124</f>
        <v>0</v>
      </c>
      <c r="K14" s="61">
        <f>[9]STA_SP1_NO!$F$124</f>
        <v>0</v>
      </c>
      <c r="L14" s="68">
        <f>[10]STA_SP1_NO!$F$124</f>
        <v>0</v>
      </c>
      <c r="M14" s="332">
        <f>[11]STA_SP1_NO!$F$124</f>
        <v>0</v>
      </c>
      <c r="N14" s="249">
        <f t="shared" si="0"/>
        <v>0</v>
      </c>
    </row>
    <row r="15" spans="1:14" x14ac:dyDescent="0.25">
      <c r="A15" s="32">
        <v>12</v>
      </c>
      <c r="B15" s="33" t="s">
        <v>22</v>
      </c>
      <c r="C15" s="143">
        <f>[1]STA_SP1_NO!$F$128</f>
        <v>0</v>
      </c>
      <c r="D15" s="118">
        <f>[2]STA_SP1_NO!$F$128</f>
        <v>0</v>
      </c>
      <c r="E15" s="143">
        <f>[3]STA_SP1_NO!$F$128</f>
        <v>0</v>
      </c>
      <c r="F15" s="118">
        <f>[4]STA_SP1_NO!$F$128</f>
        <v>0</v>
      </c>
      <c r="G15" s="61">
        <f>[5]STA_SP1_NO!$F$128</f>
        <v>0</v>
      </c>
      <c r="H15" s="144">
        <f>[6]STA_SP1_NO!$F$128</f>
        <v>0</v>
      </c>
      <c r="I15" s="61">
        <f>[7]STA_SP1_NO!$F$128</f>
        <v>0</v>
      </c>
      <c r="J15" s="68">
        <f>[8]STA_SP1_NO!$F$128</f>
        <v>0</v>
      </c>
      <c r="K15" s="61">
        <f>[9]STA_SP1_NO!$F$128</f>
        <v>0</v>
      </c>
      <c r="L15" s="68">
        <f>[10]STA_SP1_NO!$F$128</f>
        <v>0</v>
      </c>
      <c r="M15" s="332">
        <f>[11]STA_SP1_NO!$F$128</f>
        <v>0</v>
      </c>
      <c r="N15" s="249">
        <f t="shared" si="0"/>
        <v>0</v>
      </c>
    </row>
    <row r="16" spans="1:14" x14ac:dyDescent="0.25">
      <c r="A16" s="32">
        <v>13</v>
      </c>
      <c r="B16" s="33" t="s">
        <v>23</v>
      </c>
      <c r="C16" s="143">
        <f>[1]STA_SP1_NO!$F$132</f>
        <v>25</v>
      </c>
      <c r="D16" s="118">
        <f>[2]STA_SP1_NO!$F$132</f>
        <v>7</v>
      </c>
      <c r="E16" s="143">
        <f>[3]STA_SP1_NO!$F$132</f>
        <v>12</v>
      </c>
      <c r="F16" s="118">
        <f>[4]STA_SP1_NO!$F$132</f>
        <v>31</v>
      </c>
      <c r="G16" s="61">
        <f>[5]STA_SP1_NO!$F$132</f>
        <v>15</v>
      </c>
      <c r="H16" s="144">
        <f>[6]STA_SP1_NO!$F$132</f>
        <v>0</v>
      </c>
      <c r="I16" s="61">
        <f>[7]STA_SP1_NO!$F$132</f>
        <v>2</v>
      </c>
      <c r="J16" s="68">
        <f>[8]STA_SP1_NO!$F$132</f>
        <v>27</v>
      </c>
      <c r="K16" s="61">
        <f>[9]STA_SP1_NO!$F$132</f>
        <v>4</v>
      </c>
      <c r="L16" s="68">
        <f>[10]STA_SP1_NO!$F$132</f>
        <v>18</v>
      </c>
      <c r="M16" s="332">
        <f>[11]STA_SP1_NO!$F$132</f>
        <v>0</v>
      </c>
      <c r="N16" s="249">
        <f t="shared" si="0"/>
        <v>141</v>
      </c>
    </row>
    <row r="17" spans="1:14" x14ac:dyDescent="0.25">
      <c r="A17" s="32">
        <v>14</v>
      </c>
      <c r="B17" s="33" t="s">
        <v>24</v>
      </c>
      <c r="C17" s="143">
        <f>[1]STA_SP1_NO!$F$153</f>
        <v>1</v>
      </c>
      <c r="D17" s="118">
        <f>[2]STA_SP1_NO!$F$153</f>
        <v>14</v>
      </c>
      <c r="E17" s="143">
        <f>[3]STA_SP1_NO!$F$153</f>
        <v>0</v>
      </c>
      <c r="F17" s="118">
        <f>[4]STA_SP1_NO!$F$153</f>
        <v>0</v>
      </c>
      <c r="G17" s="61">
        <f>[5]STA_SP1_NO!$F$153</f>
        <v>0</v>
      </c>
      <c r="H17" s="144">
        <f>[6]STA_SP1_NO!$F$153</f>
        <v>0</v>
      </c>
      <c r="I17" s="61">
        <f>[7]STA_SP1_NO!$F$153</f>
        <v>0</v>
      </c>
      <c r="J17" s="68">
        <f>[8]STA_SP1_NO!$F$153</f>
        <v>0</v>
      </c>
      <c r="K17" s="61">
        <f>[9]STA_SP1_NO!$F$153</f>
        <v>8</v>
      </c>
      <c r="L17" s="68">
        <f>[10]STA_SP1_NO!$F$153</f>
        <v>1</v>
      </c>
      <c r="M17" s="332">
        <f>[11]STA_SP1_NO!$F$153</f>
        <v>0</v>
      </c>
      <c r="N17" s="249">
        <f t="shared" si="0"/>
        <v>24</v>
      </c>
    </row>
    <row r="18" spans="1:14" x14ac:dyDescent="0.25">
      <c r="A18" s="32">
        <v>15</v>
      </c>
      <c r="B18" s="33" t="s">
        <v>25</v>
      </c>
      <c r="C18" s="143">
        <f>[1]STA_SP1_NO!$F$158</f>
        <v>0</v>
      </c>
      <c r="D18" s="118">
        <f>[2]STA_SP1_NO!$F$158</f>
        <v>0</v>
      </c>
      <c r="E18" s="143">
        <f>[3]STA_SP1_NO!$F$158</f>
        <v>0</v>
      </c>
      <c r="F18" s="118">
        <f>[4]STA_SP1_NO!$F$158</f>
        <v>0</v>
      </c>
      <c r="G18" s="61">
        <f>[5]STA_SP1_NO!$F$158</f>
        <v>0</v>
      </c>
      <c r="H18" s="144">
        <f>[6]STA_SP1_NO!$F$158</f>
        <v>0</v>
      </c>
      <c r="I18" s="61">
        <f>[7]STA_SP1_NO!$F$158</f>
        <v>0</v>
      </c>
      <c r="J18" s="68">
        <f>[8]STA_SP1_NO!$F$158</f>
        <v>0</v>
      </c>
      <c r="K18" s="61">
        <f>[9]STA_SP1_NO!$F$158</f>
        <v>0</v>
      </c>
      <c r="L18" s="68">
        <f>[10]STA_SP1_NO!$F$158</f>
        <v>0</v>
      </c>
      <c r="M18" s="332">
        <f>[11]STA_SP1_NO!$F$158</f>
        <v>0</v>
      </c>
      <c r="N18" s="249">
        <f t="shared" si="0"/>
        <v>0</v>
      </c>
    </row>
    <row r="19" spans="1:14" x14ac:dyDescent="0.25">
      <c r="A19" s="32">
        <v>16</v>
      </c>
      <c r="B19" s="33" t="s">
        <v>26</v>
      </c>
      <c r="C19" s="143">
        <f>[1]STA_SP1_NO!$F$161</f>
        <v>16</v>
      </c>
      <c r="D19" s="118">
        <f>[2]STA_SP1_NO!$F$161</f>
        <v>0</v>
      </c>
      <c r="E19" s="143">
        <f>[3]STA_SP1_NO!$F$161</f>
        <v>0</v>
      </c>
      <c r="F19" s="118">
        <f>[4]STA_SP1_NO!$F$161</f>
        <v>5</v>
      </c>
      <c r="G19" s="61">
        <f>[5]STA_SP1_NO!$F$161</f>
        <v>0</v>
      </c>
      <c r="H19" s="144">
        <f>[6]STA_SP1_NO!$F$161</f>
        <v>0</v>
      </c>
      <c r="I19" s="61">
        <f>[7]STA_SP1_NO!$F$161</f>
        <v>1</v>
      </c>
      <c r="J19" s="68">
        <f>[8]STA_SP1_NO!$F$161</f>
        <v>0</v>
      </c>
      <c r="K19" s="61">
        <f>[9]STA_SP1_NO!$F$161</f>
        <v>1</v>
      </c>
      <c r="L19" s="68">
        <f>[10]STA_SP1_NO!$F$161</f>
        <v>1</v>
      </c>
      <c r="M19" s="332">
        <f>[11]STA_SP1_NO!$F$161</f>
        <v>0</v>
      </c>
      <c r="N19" s="249">
        <f t="shared" si="0"/>
        <v>24</v>
      </c>
    </row>
    <row r="20" spans="1:14" x14ac:dyDescent="0.25">
      <c r="A20" s="32">
        <v>17</v>
      </c>
      <c r="B20" s="33" t="s">
        <v>27</v>
      </c>
      <c r="C20" s="143">
        <f>[1]STA_SP1_NO!$F$167</f>
        <v>0</v>
      </c>
      <c r="D20" s="118">
        <f>[2]STA_SP1_NO!$F$167</f>
        <v>0</v>
      </c>
      <c r="E20" s="143">
        <f>[3]STA_SP1_NO!$F$167</f>
        <v>0</v>
      </c>
      <c r="F20" s="118">
        <f>[4]STA_SP1_NO!$F$167</f>
        <v>0</v>
      </c>
      <c r="G20" s="61">
        <f>[5]STA_SP1_NO!$F$167</f>
        <v>0</v>
      </c>
      <c r="H20" s="144">
        <f>[6]STA_SP1_NO!$F$167</f>
        <v>0</v>
      </c>
      <c r="I20" s="61">
        <f>[7]STA_SP1_NO!$F$167</f>
        <v>0</v>
      </c>
      <c r="J20" s="68">
        <f>[8]STA_SP1_NO!$F$167</f>
        <v>0</v>
      </c>
      <c r="K20" s="61">
        <f>[9]STA_SP1_NO!$F$167</f>
        <v>0</v>
      </c>
      <c r="L20" s="68">
        <f>[10]STA_SP1_NO!$F$167</f>
        <v>0</v>
      </c>
      <c r="M20" s="332">
        <f>[11]STA_SP1_NO!$F$167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43">
        <f>[1]STA_SP1_NO!$F$170</f>
        <v>156</v>
      </c>
      <c r="D21" s="118">
        <f>[2]STA_SP1_NO!$F$170</f>
        <v>404</v>
      </c>
      <c r="E21" s="143">
        <f>[3]STA_SP1_NO!$F$170</f>
        <v>42</v>
      </c>
      <c r="F21" s="118">
        <f>[4]STA_SP1_NO!$F$170</f>
        <v>294</v>
      </c>
      <c r="G21" s="61">
        <f>[5]STA_SP1_NO!$F$170</f>
        <v>294</v>
      </c>
      <c r="H21" s="144">
        <f>[6]STA_SP1_NO!$F$170</f>
        <v>57</v>
      </c>
      <c r="I21" s="61">
        <f>[7]STA_SP1_NO!$F$170</f>
        <v>118</v>
      </c>
      <c r="J21" s="68">
        <f>[8]STA_SP1_NO!$F$170</f>
        <v>85</v>
      </c>
      <c r="K21" s="61">
        <f>[9]STA_SP1_NO!$F$170</f>
        <v>98</v>
      </c>
      <c r="L21" s="68">
        <f>[10]STA_SP1_NO!$F$170</f>
        <v>152</v>
      </c>
      <c r="M21" s="332">
        <f>[11]STA_SP1_NO!$F$170</f>
        <v>2</v>
      </c>
      <c r="N21" s="249">
        <f t="shared" si="0"/>
        <v>1702</v>
      </c>
    </row>
    <row r="22" spans="1:14" ht="15.75" thickBot="1" x14ac:dyDescent="0.3">
      <c r="A22" s="36"/>
      <c r="B22" s="37" t="s">
        <v>3</v>
      </c>
      <c r="C22" s="38">
        <f>SUM(C4:C21)</f>
        <v>12473</v>
      </c>
      <c r="D22" s="51">
        <f>SUM(D4:D21)</f>
        <v>10296</v>
      </c>
      <c r="E22" s="69">
        <f t="shared" ref="E22:F22" si="1">SUM(E4:E21)</f>
        <v>2165</v>
      </c>
      <c r="F22" s="39">
        <f t="shared" si="1"/>
        <v>6818</v>
      </c>
      <c r="G22" s="41">
        <f t="shared" ref="G22:N22" si="2">SUM(G4:G21)</f>
        <v>8601</v>
      </c>
      <c r="H22" s="42">
        <f t="shared" si="2"/>
        <v>2555</v>
      </c>
      <c r="I22" s="41">
        <f t="shared" si="2"/>
        <v>8543</v>
      </c>
      <c r="J22" s="42">
        <f t="shared" si="2"/>
        <v>2189</v>
      </c>
      <c r="K22" s="41">
        <f t="shared" si="2"/>
        <v>6290</v>
      </c>
      <c r="L22" s="42">
        <f t="shared" si="2"/>
        <v>12949</v>
      </c>
      <c r="M22" s="347">
        <f t="shared" si="2"/>
        <v>79</v>
      </c>
      <c r="N22" s="250">
        <f t="shared" si="2"/>
        <v>72958</v>
      </c>
    </row>
    <row r="23" spans="1:14" ht="15.75" thickBot="1" x14ac:dyDescent="0.3">
      <c r="A23" s="43"/>
      <c r="B23" s="44"/>
      <c r="C23" s="46"/>
      <c r="D23" s="58"/>
      <c r="E23" s="58"/>
      <c r="F23" s="46"/>
      <c r="G23" s="46"/>
      <c r="H23" s="46"/>
      <c r="I23" s="46"/>
      <c r="J23" s="46"/>
      <c r="K23" s="46"/>
      <c r="L23" s="46"/>
      <c r="M23" s="348"/>
      <c r="N23" s="46"/>
    </row>
    <row r="24" spans="1:14" ht="15.75" thickBot="1" x14ac:dyDescent="0.3">
      <c r="A24" s="469" t="s">
        <v>30</v>
      </c>
      <c r="B24" s="470"/>
      <c r="C24" s="48">
        <f>C22/N22</f>
        <v>0.17096137503769293</v>
      </c>
      <c r="D24" s="47">
        <f>D22/N22</f>
        <v>0.14112228953644562</v>
      </c>
      <c r="E24" s="48">
        <f>E22/N22</f>
        <v>2.9674607308314373E-2</v>
      </c>
      <c r="F24" s="47">
        <f>F22/N22</f>
        <v>9.3451026618054225E-2</v>
      </c>
      <c r="G24" s="48">
        <f>G22/N22</f>
        <v>0.11788974478467064</v>
      </c>
      <c r="H24" s="47">
        <f>H22/N22</f>
        <v>3.502014857863428E-2</v>
      </c>
      <c r="I24" s="48">
        <f>I22/N22</f>
        <v>0.11709476685216151</v>
      </c>
      <c r="J24" s="47">
        <f>J22/N22</f>
        <v>3.0003563694180214E-2</v>
      </c>
      <c r="K24" s="48">
        <f>K22/N22</f>
        <v>8.6213986129005729E-2</v>
      </c>
      <c r="L24" s="336">
        <f>L22/N22</f>
        <v>0.17748567669069876</v>
      </c>
      <c r="M24" s="342">
        <f>M22/N22</f>
        <v>1.0828147701417254E-3</v>
      </c>
      <c r="N24" s="251">
        <f>N22/N22</f>
        <v>1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.75" thickBot="1" x14ac:dyDescent="0.3">
      <c r="A26" s="424" t="s">
        <v>0</v>
      </c>
      <c r="B26" s="426" t="s">
        <v>1</v>
      </c>
      <c r="C26" s="483" t="s">
        <v>89</v>
      </c>
      <c r="D26" s="484"/>
      <c r="E26" s="484"/>
      <c r="F26" s="484"/>
      <c r="G26" s="484"/>
      <c r="H26" s="485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25"/>
      <c r="B27" s="428"/>
      <c r="C27" s="189" t="s">
        <v>10</v>
      </c>
      <c r="D27" s="215" t="s">
        <v>31</v>
      </c>
      <c r="E27" s="191" t="s">
        <v>7</v>
      </c>
      <c r="F27" s="127" t="s">
        <v>96</v>
      </c>
      <c r="G27" s="213" t="s">
        <v>4</v>
      </c>
      <c r="H27" s="253" t="s">
        <v>94</v>
      </c>
      <c r="I27" s="482"/>
      <c r="J27" s="81"/>
      <c r="K27" s="479" t="s">
        <v>32</v>
      </c>
      <c r="L27" s="480"/>
      <c r="M27" s="232">
        <f>N22</f>
        <v>72958</v>
      </c>
      <c r="N27" s="233">
        <f>M27/M29</f>
        <v>0.95661295186646911</v>
      </c>
    </row>
    <row r="28" spans="1:14" ht="15.75" thickBot="1" x14ac:dyDescent="0.3">
      <c r="A28" s="22">
        <v>19</v>
      </c>
      <c r="B28" s="80" t="s">
        <v>33</v>
      </c>
      <c r="C28" s="190">
        <f>[12]STA_SP2_ZO!$L$51</f>
        <v>1441</v>
      </c>
      <c r="D28" s="192">
        <f>[13]STA_SP2_ZO!$L$51</f>
        <v>718</v>
      </c>
      <c r="E28" s="196">
        <f>[14]STA_SP2_ZO!$L$51</f>
        <v>464</v>
      </c>
      <c r="F28" s="50">
        <f>[15]STA_SP2_ZO!$L$51</f>
        <v>284</v>
      </c>
      <c r="G28" s="115">
        <f>[16]STA_SP2_ZO!$L$51</f>
        <v>392</v>
      </c>
      <c r="H28" s="214">
        <f>[17]STA_SP2_ZO!$L$51</f>
        <v>10</v>
      </c>
      <c r="I28" s="244">
        <f>SUM(C28:H28)</f>
        <v>3309</v>
      </c>
      <c r="J28" s="81"/>
      <c r="K28" s="471" t="s">
        <v>33</v>
      </c>
      <c r="L28" s="472"/>
      <c r="M28" s="234">
        <f>I28</f>
        <v>3309</v>
      </c>
      <c r="N28" s="235">
        <f>M28/M29</f>
        <v>4.3387048133530885E-2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73" t="s">
        <v>3</v>
      </c>
      <c r="L29" s="474"/>
      <c r="M29" s="236">
        <f>M27+M28</f>
        <v>76267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0.43547899667573287</v>
      </c>
      <c r="D30" s="82">
        <f>D28/I28</f>
        <v>0.21698398307645814</v>
      </c>
      <c r="E30" s="23">
        <f>E28/I28</f>
        <v>0.14022363251737685</v>
      </c>
      <c r="F30" s="82">
        <f>F28/I28</f>
        <v>8.5826533695980659E-2</v>
      </c>
      <c r="G30" s="23">
        <f>G28/I28</f>
        <v>0.11846479298881837</v>
      </c>
      <c r="H30" s="82">
        <f>H28/I28</f>
        <v>3.0220610456331218E-3</v>
      </c>
      <c r="I30" s="231">
        <f>I28/I28</f>
        <v>1</v>
      </c>
      <c r="J30" s="1"/>
      <c r="K30" s="1"/>
      <c r="L30" s="1"/>
      <c r="M30" s="1"/>
      <c r="N30" s="1"/>
    </row>
    <row r="31" spans="1:14" x14ac:dyDescent="0.25">
      <c r="H31" s="1"/>
    </row>
    <row r="32" spans="1:14" x14ac:dyDescent="0.25">
      <c r="D32" s="163"/>
    </row>
  </sheetData>
  <mergeCells count="14">
    <mergeCell ref="N2:N3"/>
    <mergeCell ref="A30:B30"/>
    <mergeCell ref="K28:L28"/>
    <mergeCell ref="C1:K1"/>
    <mergeCell ref="A2:A3"/>
    <mergeCell ref="B2:B3"/>
    <mergeCell ref="A24:B24"/>
    <mergeCell ref="A26:A27"/>
    <mergeCell ref="B26:B27"/>
    <mergeCell ref="K27:L27"/>
    <mergeCell ref="K29:L29"/>
    <mergeCell ref="I26:I27"/>
    <mergeCell ref="C26:H26"/>
    <mergeCell ref="C2:M2"/>
  </mergeCells>
  <pageMargins left="0.25" right="0.25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S21" sqref="S21"/>
    </sheetView>
  </sheetViews>
  <sheetFormatPr defaultRowHeight="15" x14ac:dyDescent="0.25"/>
  <cols>
    <col min="1" max="1" width="4.5703125" customWidth="1"/>
    <col min="2" max="2" width="27.85546875" customWidth="1"/>
    <col min="8" max="8" width="9.5703125" customWidth="1"/>
  </cols>
  <sheetData>
    <row r="1" spans="1:14" ht="28.5" customHeight="1" thickBot="1" x14ac:dyDescent="0.3">
      <c r="A1" s="120"/>
      <c r="B1" s="120"/>
      <c r="C1" s="457" t="s">
        <v>101</v>
      </c>
      <c r="D1" s="458"/>
      <c r="E1" s="458"/>
      <c r="F1" s="458"/>
      <c r="G1" s="458"/>
      <c r="H1" s="458"/>
      <c r="I1" s="458"/>
      <c r="J1" s="26"/>
      <c r="K1" s="26"/>
      <c r="L1" s="26"/>
      <c r="M1" s="26"/>
      <c r="N1" s="26"/>
    </row>
    <row r="2" spans="1:14" ht="15.75" thickBot="1" x14ac:dyDescent="0.3">
      <c r="A2" s="460" t="s">
        <v>0</v>
      </c>
      <c r="B2" s="462" t="s">
        <v>1</v>
      </c>
      <c r="C2" s="492" t="s">
        <v>2</v>
      </c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64" t="s">
        <v>3</v>
      </c>
    </row>
    <row r="3" spans="1:14" ht="15.75" thickBot="1" x14ac:dyDescent="0.3">
      <c r="A3" s="461"/>
      <c r="B3" s="491"/>
      <c r="C3" s="354" t="s">
        <v>68</v>
      </c>
      <c r="D3" s="307" t="s">
        <v>4</v>
      </c>
      <c r="E3" s="355" t="s">
        <v>5</v>
      </c>
      <c r="F3" s="307" t="s">
        <v>6</v>
      </c>
      <c r="G3" s="357" t="s">
        <v>8</v>
      </c>
      <c r="H3" s="356" t="s">
        <v>93</v>
      </c>
      <c r="I3" s="415" t="s">
        <v>96</v>
      </c>
      <c r="J3" s="372" t="s">
        <v>9</v>
      </c>
      <c r="K3" s="358" t="s">
        <v>92</v>
      </c>
      <c r="L3" s="307" t="s">
        <v>10</v>
      </c>
      <c r="M3" s="373" t="s">
        <v>95</v>
      </c>
      <c r="N3" s="490"/>
    </row>
    <row r="4" spans="1:14" x14ac:dyDescent="0.25">
      <c r="A4" s="30">
        <v>1</v>
      </c>
      <c r="B4" s="351" t="s">
        <v>11</v>
      </c>
      <c r="C4" s="370">
        <f>[1]STA_SP1_NO!$H$10</f>
        <v>164</v>
      </c>
      <c r="D4" s="54">
        <f>[2]STA_SP1_NO!$H$10</f>
        <v>218</v>
      </c>
      <c r="E4" s="370">
        <f>[3]STA_SP1_NO!$H$10</f>
        <v>61</v>
      </c>
      <c r="F4" s="54">
        <f>[4]STA_SP1_NO!$H$10</f>
        <v>128</v>
      </c>
      <c r="G4" s="62">
        <f>[5]STA_SP1_NO!$H$10</f>
        <v>208</v>
      </c>
      <c r="H4" s="371">
        <f>[6]STA_SP1_NO!$H$10</f>
        <v>84</v>
      </c>
      <c r="I4" s="62">
        <f>[7]STA_SP1_NO!$H$10</f>
        <v>47</v>
      </c>
      <c r="J4" s="54">
        <f>[8]STA_SP1_NO!$H$10</f>
        <v>98</v>
      </c>
      <c r="K4" s="62">
        <f>[9]STA_SP1_NO!$H$10</f>
        <v>79</v>
      </c>
      <c r="L4" s="54">
        <f>[10]STA_SP1_NO!$H$10</f>
        <v>415</v>
      </c>
      <c r="M4" s="374">
        <f>[11]STA_SP1_NO!$H$10</f>
        <v>3</v>
      </c>
      <c r="N4" s="369">
        <f t="shared" ref="N4:N22" si="0">SUM(C4:M4)</f>
        <v>1505</v>
      </c>
    </row>
    <row r="5" spans="1:14" x14ac:dyDescent="0.25">
      <c r="A5" s="32">
        <v>2</v>
      </c>
      <c r="B5" s="352" t="s">
        <v>12</v>
      </c>
      <c r="C5" s="370">
        <f>[1]STA_SP1_NO!$H$20</f>
        <v>246</v>
      </c>
      <c r="D5" s="54">
        <f>[2]STA_SP1_NO!$H$20</f>
        <v>516</v>
      </c>
      <c r="E5" s="370">
        <f>[3]STA_SP1_NO!$H$20</f>
        <v>63</v>
      </c>
      <c r="F5" s="54">
        <f>[4]STA_SP1_NO!$H$20</f>
        <v>542</v>
      </c>
      <c r="G5" s="62">
        <f>[5]STA_SP1_NO!$H$20</f>
        <v>656</v>
      </c>
      <c r="H5" s="371">
        <f>[6]STA_SP1_NO!$H$20</f>
        <v>0</v>
      </c>
      <c r="I5" s="62">
        <f>[7]STA_SP1_NO!$H$20</f>
        <v>30</v>
      </c>
      <c r="J5" s="54">
        <f>[8]STA_SP1_NO!$H$20</f>
        <v>0</v>
      </c>
      <c r="K5" s="62">
        <f>[9]STA_SP1_NO!$H$20</f>
        <v>264</v>
      </c>
      <c r="L5" s="54">
        <f>[10]STA_SP1_NO!$H$20</f>
        <v>885</v>
      </c>
      <c r="M5" s="374">
        <f>[11]STA_SP1_NO!$H$20</f>
        <v>0</v>
      </c>
      <c r="N5" s="369">
        <f t="shared" si="0"/>
        <v>3202</v>
      </c>
    </row>
    <row r="6" spans="1:14" x14ac:dyDescent="0.25">
      <c r="A6" s="32">
        <v>3</v>
      </c>
      <c r="B6" s="352" t="s">
        <v>13</v>
      </c>
      <c r="C6" s="370">
        <f>[1]STA_SP1_NO!$H$24</f>
        <v>287</v>
      </c>
      <c r="D6" s="54">
        <f>[2]STA_SP1_NO!$H$24</f>
        <v>372</v>
      </c>
      <c r="E6" s="370">
        <f>[3]STA_SP1_NO!$H$24</f>
        <v>189</v>
      </c>
      <c r="F6" s="54">
        <f>[4]STA_SP1_NO!$H$24</f>
        <v>404</v>
      </c>
      <c r="G6" s="62">
        <f>[5]STA_SP1_NO!$H$24</f>
        <v>383</v>
      </c>
      <c r="H6" s="371">
        <f>[6]STA_SP1_NO!$H$24</f>
        <v>145</v>
      </c>
      <c r="I6" s="62">
        <f>[7]STA_SP1_NO!$H$24</f>
        <v>160</v>
      </c>
      <c r="J6" s="54">
        <f>[8]STA_SP1_NO!$H$24</f>
        <v>182</v>
      </c>
      <c r="K6" s="62">
        <f>[9]STA_SP1_NO!$H$24</f>
        <v>172</v>
      </c>
      <c r="L6" s="54">
        <f>[10]STA_SP1_NO!$H$24</f>
        <v>353</v>
      </c>
      <c r="M6" s="374">
        <f>[11]STA_SP1_NO!$H$24</f>
        <v>10</v>
      </c>
      <c r="N6" s="369">
        <f t="shared" si="0"/>
        <v>2657</v>
      </c>
    </row>
    <row r="7" spans="1:14" x14ac:dyDescent="0.25">
      <c r="A7" s="32">
        <v>4</v>
      </c>
      <c r="B7" s="352" t="s">
        <v>14</v>
      </c>
      <c r="C7" s="370">
        <f>[1]STA_SP1_NO!$H$27</f>
        <v>0</v>
      </c>
      <c r="D7" s="54">
        <f>[2]STA_SP1_NO!$H$27</f>
        <v>0</v>
      </c>
      <c r="E7" s="370">
        <f>[3]STA_SP1_NO!$H$27</f>
        <v>0</v>
      </c>
      <c r="F7" s="54">
        <f>[4]STA_SP1_NO!$H$27</f>
        <v>0</v>
      </c>
      <c r="G7" s="62">
        <f>[5]STA_SP1_NO!$H$27</f>
        <v>0</v>
      </c>
      <c r="H7" s="371">
        <f>[6]STA_SP1_NO!$H$27</f>
        <v>0</v>
      </c>
      <c r="I7" s="62">
        <f>[7]STA_SP1_NO!$H$27</f>
        <v>0</v>
      </c>
      <c r="J7" s="54">
        <f>[8]STA_SP1_NO!$H$27</f>
        <v>0</v>
      </c>
      <c r="K7" s="62">
        <f>[9]STA_SP1_NO!$H$27</f>
        <v>0</v>
      </c>
      <c r="L7" s="54">
        <f>[10]STA_SP1_NO!$H$27</f>
        <v>0</v>
      </c>
      <c r="M7" s="374">
        <f>[11]STA_SP1_NO!$H$27</f>
        <v>0</v>
      </c>
      <c r="N7" s="369">
        <f t="shared" si="0"/>
        <v>0</v>
      </c>
    </row>
    <row r="8" spans="1:14" x14ac:dyDescent="0.25">
      <c r="A8" s="32">
        <v>5</v>
      </c>
      <c r="B8" s="352" t="s">
        <v>15</v>
      </c>
      <c r="C8" s="370">
        <f>[1]STA_SP1_NO!$H$30</f>
        <v>0</v>
      </c>
      <c r="D8" s="54">
        <f>[2]STA_SP1_NO!$H$30</f>
        <v>1</v>
      </c>
      <c r="E8" s="370">
        <f>[3]STA_SP1_NO!$H$30</f>
        <v>0</v>
      </c>
      <c r="F8" s="54">
        <f>[4]STA_SP1_NO!$H$30</f>
        <v>0</v>
      </c>
      <c r="G8" s="62">
        <f>[5]STA_SP1_NO!$H$30</f>
        <v>0</v>
      </c>
      <c r="H8" s="371">
        <f>[6]STA_SP1_NO!$H$30</f>
        <v>0</v>
      </c>
      <c r="I8" s="62">
        <f>[7]STA_SP1_NO!$H$30</f>
        <v>0</v>
      </c>
      <c r="J8" s="54">
        <f>[8]STA_SP1_NO!$H$30</f>
        <v>0</v>
      </c>
      <c r="K8" s="62">
        <f>[9]STA_SP1_NO!$H$30</f>
        <v>0</v>
      </c>
      <c r="L8" s="54">
        <f>[10]STA_SP1_NO!$H$30</f>
        <v>0</v>
      </c>
      <c r="M8" s="374">
        <f>[11]STA_SP1_NO!$H$30</f>
        <v>0</v>
      </c>
      <c r="N8" s="369">
        <f t="shared" si="0"/>
        <v>1</v>
      </c>
    </row>
    <row r="9" spans="1:14" x14ac:dyDescent="0.25">
      <c r="A9" s="32">
        <v>6</v>
      </c>
      <c r="B9" s="352" t="s">
        <v>16</v>
      </c>
      <c r="C9" s="370">
        <f>[1]STA_SP1_NO!$H$33</f>
        <v>0</v>
      </c>
      <c r="D9" s="54">
        <f>[2]STA_SP1_NO!$H$33</f>
        <v>0</v>
      </c>
      <c r="E9" s="370">
        <f>[3]STA_SP1_NO!$H$33</f>
        <v>0</v>
      </c>
      <c r="F9" s="54">
        <f>[4]STA_SP1_NO!$H$33</f>
        <v>0</v>
      </c>
      <c r="G9" s="62">
        <f>[5]STA_SP1_NO!$H$33</f>
        <v>0</v>
      </c>
      <c r="H9" s="371">
        <f>[6]STA_SP1_NO!$H$33</f>
        <v>0</v>
      </c>
      <c r="I9" s="62">
        <f>[7]STA_SP1_NO!$H$33</f>
        <v>0</v>
      </c>
      <c r="J9" s="54">
        <f>[8]STA_SP1_NO!$H$33</f>
        <v>1</v>
      </c>
      <c r="K9" s="62">
        <f>[9]STA_SP1_NO!$H$33</f>
        <v>0</v>
      </c>
      <c r="L9" s="54">
        <f>[10]STA_SP1_NO!$H$33</f>
        <v>0</v>
      </c>
      <c r="M9" s="374">
        <f>[11]STA_SP1_NO!$H$33</f>
        <v>0</v>
      </c>
      <c r="N9" s="369">
        <f t="shared" si="0"/>
        <v>1</v>
      </c>
    </row>
    <row r="10" spans="1:14" x14ac:dyDescent="0.25">
      <c r="A10" s="32">
        <v>7</v>
      </c>
      <c r="B10" s="352" t="s">
        <v>17</v>
      </c>
      <c r="C10" s="370">
        <f>[1]STA_SP1_NO!$H$36</f>
        <v>4</v>
      </c>
      <c r="D10" s="54">
        <f>[2]STA_SP1_NO!$H$36</f>
        <v>20</v>
      </c>
      <c r="E10" s="370">
        <f>[3]STA_SP1_NO!$H$36</f>
        <v>1</v>
      </c>
      <c r="F10" s="54">
        <f>[4]STA_SP1_NO!$H$36</f>
        <v>0</v>
      </c>
      <c r="G10" s="62">
        <f>[5]STA_SP1_NO!$H$36</f>
        <v>2</v>
      </c>
      <c r="H10" s="371">
        <f>[6]STA_SP1_NO!$H$36</f>
        <v>0</v>
      </c>
      <c r="I10" s="62">
        <f>[7]STA_SP1_NO!$H$36</f>
        <v>2</v>
      </c>
      <c r="J10" s="54">
        <f>[8]STA_SP1_NO!$H$36</f>
        <v>0</v>
      </c>
      <c r="K10" s="62">
        <f>[9]STA_SP1_NO!$H$36</f>
        <v>1</v>
      </c>
      <c r="L10" s="54">
        <f>[10]STA_SP1_NO!$H$36</f>
        <v>1</v>
      </c>
      <c r="M10" s="374">
        <f>[11]STA_SP1_NO!$H$36</f>
        <v>0</v>
      </c>
      <c r="N10" s="369">
        <f t="shared" si="0"/>
        <v>31</v>
      </c>
    </row>
    <row r="11" spans="1:14" x14ac:dyDescent="0.25">
      <c r="A11" s="32">
        <v>8</v>
      </c>
      <c r="B11" s="352" t="s">
        <v>18</v>
      </c>
      <c r="C11" s="370">
        <f>[1]STA_SP1_NO!$H$40</f>
        <v>39</v>
      </c>
      <c r="D11" s="54">
        <f>[2]STA_SP1_NO!$H$40</f>
        <v>30</v>
      </c>
      <c r="E11" s="370">
        <f>[3]STA_SP1_NO!$H$40</f>
        <v>2</v>
      </c>
      <c r="F11" s="54">
        <f>[4]STA_SP1_NO!$H$40</f>
        <v>51</v>
      </c>
      <c r="G11" s="62">
        <f>[5]STA_SP1_NO!$H$40</f>
        <v>51</v>
      </c>
      <c r="H11" s="371">
        <f>[6]STA_SP1_NO!$H$40</f>
        <v>14</v>
      </c>
      <c r="I11" s="62">
        <f>[7]STA_SP1_NO!$H$40</f>
        <v>13</v>
      </c>
      <c r="J11" s="54">
        <f>[8]STA_SP1_NO!$H$40</f>
        <v>31</v>
      </c>
      <c r="K11" s="62">
        <f>[9]STA_SP1_NO!$H$40</f>
        <v>20</v>
      </c>
      <c r="L11" s="54">
        <f>[10]STA_SP1_NO!$H$40</f>
        <v>13</v>
      </c>
      <c r="M11" s="374">
        <f>[11]STA_SP1_NO!$H$40</f>
        <v>0</v>
      </c>
      <c r="N11" s="369">
        <f t="shared" si="0"/>
        <v>264</v>
      </c>
    </row>
    <row r="12" spans="1:14" x14ac:dyDescent="0.25">
      <c r="A12" s="32">
        <v>9</v>
      </c>
      <c r="B12" s="352" t="s">
        <v>19</v>
      </c>
      <c r="C12" s="370">
        <f>[1]STA_SP1_NO!$H$56</f>
        <v>193</v>
      </c>
      <c r="D12" s="54">
        <f>[2]STA_SP1_NO!$H$56</f>
        <v>136</v>
      </c>
      <c r="E12" s="370">
        <f>[3]STA_SP1_NO!$H$56</f>
        <v>54</v>
      </c>
      <c r="F12" s="54">
        <f>[4]STA_SP1_NO!$H$56</f>
        <v>199</v>
      </c>
      <c r="G12" s="62">
        <f>[5]STA_SP1_NO!$H$56</f>
        <v>52</v>
      </c>
      <c r="H12" s="371">
        <f>[6]STA_SP1_NO!$H$56</f>
        <v>13</v>
      </c>
      <c r="I12" s="62">
        <f>[7]STA_SP1_NO!$H$56</f>
        <v>37</v>
      </c>
      <c r="J12" s="54">
        <f>[8]STA_SP1_NO!$H$56</f>
        <v>12</v>
      </c>
      <c r="K12" s="62">
        <f>[9]STA_SP1_NO!$H$56</f>
        <v>47</v>
      </c>
      <c r="L12" s="54">
        <f>[10]STA_SP1_NO!$H$56</f>
        <v>64</v>
      </c>
      <c r="M12" s="374">
        <f>[11]STA_SP1_NO!$H$56</f>
        <v>0</v>
      </c>
      <c r="N12" s="369">
        <f t="shared" si="0"/>
        <v>807</v>
      </c>
    </row>
    <row r="13" spans="1:14" x14ac:dyDescent="0.25">
      <c r="A13" s="32">
        <v>10</v>
      </c>
      <c r="B13" s="352" t="s">
        <v>20</v>
      </c>
      <c r="C13" s="370">
        <f>[1]STA_SP1_NO!$H$88</f>
        <v>1766</v>
      </c>
      <c r="D13" s="54">
        <f>[2]STA_SP1_NO!$H$88</f>
        <v>1123</v>
      </c>
      <c r="E13" s="370">
        <f>[3]STA_SP1_NO!$H$88</f>
        <v>662</v>
      </c>
      <c r="F13" s="54">
        <f>[4]STA_SP1_NO!$H$88</f>
        <v>960</v>
      </c>
      <c r="G13" s="62">
        <f>[5]STA_SP1_NO!$H$88</f>
        <v>1659</v>
      </c>
      <c r="H13" s="371">
        <f>[6]STA_SP1_NO!$H$88</f>
        <v>2373</v>
      </c>
      <c r="I13" s="62">
        <f>[7]STA_SP1_NO!$H$88</f>
        <v>1340</v>
      </c>
      <c r="J13" s="54">
        <f>[8]STA_SP1_NO!$H$88</f>
        <v>903</v>
      </c>
      <c r="K13" s="62">
        <f>[9]STA_SP1_NO!$H$88</f>
        <v>671</v>
      </c>
      <c r="L13" s="54">
        <f>[10]STA_SP1_NO!$H$88</f>
        <v>1264</v>
      </c>
      <c r="M13" s="374">
        <f>[11]STA_SP1_NO!$H$88</f>
        <v>128</v>
      </c>
      <c r="N13" s="369">
        <f t="shared" si="0"/>
        <v>12849</v>
      </c>
    </row>
    <row r="14" spans="1:14" x14ac:dyDescent="0.25">
      <c r="A14" s="32">
        <v>11</v>
      </c>
      <c r="B14" s="352" t="s">
        <v>21</v>
      </c>
      <c r="C14" s="370">
        <f>[1]STA_SP1_NO!$H$124</f>
        <v>0</v>
      </c>
      <c r="D14" s="54">
        <f>[2]STA_SP1_NO!$H$124</f>
        <v>0</v>
      </c>
      <c r="E14" s="370">
        <f>[3]STA_SP1_NO!$H$124</f>
        <v>0</v>
      </c>
      <c r="F14" s="54">
        <f>[4]STA_SP1_NO!$H$124</f>
        <v>0</v>
      </c>
      <c r="G14" s="62">
        <f>[5]STA_SP1_NO!$H$124</f>
        <v>0</v>
      </c>
      <c r="H14" s="371">
        <f>[6]STA_SP1_NO!$H$124</f>
        <v>0</v>
      </c>
      <c r="I14" s="62">
        <f>[7]STA_SP1_NO!$H$124</f>
        <v>0</v>
      </c>
      <c r="J14" s="54">
        <f>[8]STA_SP1_NO!$H$124</f>
        <v>0</v>
      </c>
      <c r="K14" s="62">
        <f>[9]STA_SP1_NO!$H$124</f>
        <v>0</v>
      </c>
      <c r="L14" s="54">
        <f>[10]STA_SP1_NO!$H$124</f>
        <v>0</v>
      </c>
      <c r="M14" s="374">
        <f>[11]STA_SP1_NO!$H$124</f>
        <v>0</v>
      </c>
      <c r="N14" s="369">
        <f t="shared" si="0"/>
        <v>0</v>
      </c>
    </row>
    <row r="15" spans="1:14" x14ac:dyDescent="0.25">
      <c r="A15" s="32">
        <v>12</v>
      </c>
      <c r="B15" s="352" t="s">
        <v>22</v>
      </c>
      <c r="C15" s="370">
        <f>[1]STA_SP1_NO!$H$128</f>
        <v>0</v>
      </c>
      <c r="D15" s="54">
        <f>[2]STA_SP1_NO!$H$128</f>
        <v>6</v>
      </c>
      <c r="E15" s="370">
        <f>[3]STA_SP1_NO!$H$128</f>
        <v>0</v>
      </c>
      <c r="F15" s="54">
        <f>[4]STA_SP1_NO!$H$128</f>
        <v>1</v>
      </c>
      <c r="G15" s="62">
        <f>[5]STA_SP1_NO!$H$128</f>
        <v>0</v>
      </c>
      <c r="H15" s="371">
        <f>[6]STA_SP1_NO!$H$128</f>
        <v>0</v>
      </c>
      <c r="I15" s="62">
        <f>[7]STA_SP1_NO!$H$128</f>
        <v>0</v>
      </c>
      <c r="J15" s="54">
        <f>[8]STA_SP1_NO!$H$128</f>
        <v>0</v>
      </c>
      <c r="K15" s="62">
        <f>[9]STA_SP1_NO!$H$128</f>
        <v>0</v>
      </c>
      <c r="L15" s="54">
        <f>[10]STA_SP1_NO!$H$128</f>
        <v>0</v>
      </c>
      <c r="M15" s="374">
        <f>[11]STA_SP1_NO!$H$128</f>
        <v>0</v>
      </c>
      <c r="N15" s="369">
        <f t="shared" si="0"/>
        <v>7</v>
      </c>
    </row>
    <row r="16" spans="1:14" x14ac:dyDescent="0.25">
      <c r="A16" s="32">
        <v>13</v>
      </c>
      <c r="B16" s="352" t="s">
        <v>23</v>
      </c>
      <c r="C16" s="370">
        <f>[1]STA_SP1_NO!$H$132</f>
        <v>78</v>
      </c>
      <c r="D16" s="54">
        <f>[2]STA_SP1_NO!$H$132</f>
        <v>12</v>
      </c>
      <c r="E16" s="370">
        <f>[3]STA_SP1_NO!$H$132</f>
        <v>36</v>
      </c>
      <c r="F16" s="54">
        <f>[4]STA_SP1_NO!$H$132</f>
        <v>25</v>
      </c>
      <c r="G16" s="62">
        <f>[5]STA_SP1_NO!$H$132</f>
        <v>30</v>
      </c>
      <c r="H16" s="371">
        <f>[6]STA_SP1_NO!$H$132</f>
        <v>4</v>
      </c>
      <c r="I16" s="62">
        <f>[7]STA_SP1_NO!$H$132</f>
        <v>36</v>
      </c>
      <c r="J16" s="54">
        <f>[8]STA_SP1_NO!$H$132</f>
        <v>32</v>
      </c>
      <c r="K16" s="62">
        <f>[9]STA_SP1_NO!$H$132</f>
        <v>8</v>
      </c>
      <c r="L16" s="54">
        <f>[10]STA_SP1_NO!$H$132</f>
        <v>4</v>
      </c>
      <c r="M16" s="374">
        <f>[11]STA_SP1_NO!$H$132</f>
        <v>0</v>
      </c>
      <c r="N16" s="369">
        <f t="shared" si="0"/>
        <v>265</v>
      </c>
    </row>
    <row r="17" spans="1:14" x14ac:dyDescent="0.25">
      <c r="A17" s="32">
        <v>14</v>
      </c>
      <c r="B17" s="352" t="s">
        <v>24</v>
      </c>
      <c r="C17" s="370">
        <f>[1]STA_SP1_NO!$H$153</f>
        <v>0</v>
      </c>
      <c r="D17" s="54">
        <f>[2]STA_SP1_NO!$H$153</f>
        <v>8</v>
      </c>
      <c r="E17" s="370">
        <f>[3]STA_SP1_NO!$H$153</f>
        <v>0</v>
      </c>
      <c r="F17" s="54">
        <f>[4]STA_SP1_NO!$H$153</f>
        <v>1</v>
      </c>
      <c r="G17" s="62">
        <f>[5]STA_SP1_NO!$H$153</f>
        <v>0</v>
      </c>
      <c r="H17" s="371">
        <f>[6]STA_SP1_NO!$H$153</f>
        <v>0</v>
      </c>
      <c r="I17" s="62">
        <f>[7]STA_SP1_NO!$H$153</f>
        <v>0</v>
      </c>
      <c r="J17" s="54">
        <f>[8]STA_SP1_NO!$H$153</f>
        <v>0</v>
      </c>
      <c r="K17" s="62">
        <f>[9]STA_SP1_NO!$H$153</f>
        <v>11</v>
      </c>
      <c r="L17" s="54">
        <f>[10]STA_SP1_NO!$H$153</f>
        <v>3</v>
      </c>
      <c r="M17" s="374">
        <f>[11]STA_SP1_NO!$H$153</f>
        <v>0</v>
      </c>
      <c r="N17" s="369">
        <f t="shared" si="0"/>
        <v>23</v>
      </c>
    </row>
    <row r="18" spans="1:14" x14ac:dyDescent="0.25">
      <c r="A18" s="32">
        <v>15</v>
      </c>
      <c r="B18" s="352" t="s">
        <v>25</v>
      </c>
      <c r="C18" s="370">
        <f>[1]STA_SP1_NO!$H$158</f>
        <v>0</v>
      </c>
      <c r="D18" s="54">
        <f>[2]STA_SP1_NO!$H$158</f>
        <v>0</v>
      </c>
      <c r="E18" s="370">
        <f>[3]STA_SP1_NO!$H$158</f>
        <v>0</v>
      </c>
      <c r="F18" s="54">
        <f>[4]STA_SP1_NO!$H$158</f>
        <v>0</v>
      </c>
      <c r="G18" s="62">
        <f>[5]STA_SP1_NO!$H$158</f>
        <v>0</v>
      </c>
      <c r="H18" s="371">
        <f>[6]STA_SP1_NO!$H$158</f>
        <v>0</v>
      </c>
      <c r="I18" s="62">
        <f>[7]STA_SP1_NO!$H$158</f>
        <v>0</v>
      </c>
      <c r="J18" s="54">
        <f>[8]STA_SP1_NO!$H$158</f>
        <v>0</v>
      </c>
      <c r="K18" s="62">
        <f>[9]STA_SP1_NO!$H$158</f>
        <v>0</v>
      </c>
      <c r="L18" s="54">
        <f>[10]STA_SP1_NO!$H$158</f>
        <v>0</v>
      </c>
      <c r="M18" s="374">
        <f>[11]STA_SP1_NO!$H$158</f>
        <v>0</v>
      </c>
      <c r="N18" s="369">
        <f t="shared" si="0"/>
        <v>0</v>
      </c>
    </row>
    <row r="19" spans="1:14" x14ac:dyDescent="0.25">
      <c r="A19" s="32">
        <v>16</v>
      </c>
      <c r="B19" s="352" t="s">
        <v>26</v>
      </c>
      <c r="C19" s="370">
        <f>[1]STA_SP1_NO!$H$161</f>
        <v>4</v>
      </c>
      <c r="D19" s="54">
        <f>[2]STA_SP1_NO!$H$161</f>
        <v>0</v>
      </c>
      <c r="E19" s="370">
        <f>[3]STA_SP1_NO!$H$161</f>
        <v>0</v>
      </c>
      <c r="F19" s="54">
        <f>[4]STA_SP1_NO!$H$161</f>
        <v>6</v>
      </c>
      <c r="G19" s="62">
        <f>[5]STA_SP1_NO!$H$161</f>
        <v>0</v>
      </c>
      <c r="H19" s="371">
        <f>[6]STA_SP1_NO!$H$161</f>
        <v>0</v>
      </c>
      <c r="I19" s="62">
        <f>[7]STA_SP1_NO!$H$161</f>
        <v>6</v>
      </c>
      <c r="J19" s="54">
        <f>[8]STA_SP1_NO!$H$161</f>
        <v>0</v>
      </c>
      <c r="K19" s="62">
        <f>[9]STA_SP1_NO!$H$161</f>
        <v>0</v>
      </c>
      <c r="L19" s="54">
        <f>[10]STA_SP1_NO!$H$161</f>
        <v>0</v>
      </c>
      <c r="M19" s="374">
        <f>[11]STA_SP1_NO!$H$161</f>
        <v>0</v>
      </c>
      <c r="N19" s="369">
        <f t="shared" si="0"/>
        <v>16</v>
      </c>
    </row>
    <row r="20" spans="1:14" x14ac:dyDescent="0.25">
      <c r="A20" s="32">
        <v>17</v>
      </c>
      <c r="B20" s="352" t="s">
        <v>27</v>
      </c>
      <c r="C20" s="370">
        <f>[1]STA_SP1_NO!$H$167</f>
        <v>0</v>
      </c>
      <c r="D20" s="54">
        <f>[2]STA_SP1_NO!$H$167</f>
        <v>0</v>
      </c>
      <c r="E20" s="370">
        <f>[3]STA_SP1_NO!$H$167</f>
        <v>0</v>
      </c>
      <c r="F20" s="54">
        <f>[4]STA_SP1_NO!$H$167</f>
        <v>0</v>
      </c>
      <c r="G20" s="62">
        <f>[5]STA_SP1_NO!$H$167</f>
        <v>0</v>
      </c>
      <c r="H20" s="371">
        <f>[6]STA_SP1_NO!$H$167</f>
        <v>0</v>
      </c>
      <c r="I20" s="62">
        <f>[7]STA_SP1_NO!$H$167</f>
        <v>0</v>
      </c>
      <c r="J20" s="54">
        <f>[8]STA_SP1_NO!$H$167</f>
        <v>0</v>
      </c>
      <c r="K20" s="62">
        <f>[9]STA_SP1_NO!$H$167</f>
        <v>0</v>
      </c>
      <c r="L20" s="54">
        <f>[10]STA_SP1_NO!$H$167</f>
        <v>0</v>
      </c>
      <c r="M20" s="374">
        <f>[11]STA_SP1_NO!$H$167</f>
        <v>0</v>
      </c>
      <c r="N20" s="36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370">
        <f>[1]STA_SP1_NO!$H$170</f>
        <v>76</v>
      </c>
      <c r="D21" s="54">
        <f>[2]STA_SP1_NO!$H$170</f>
        <v>239</v>
      </c>
      <c r="E21" s="370">
        <f>[3]STA_SP1_NO!$H$170</f>
        <v>100</v>
      </c>
      <c r="F21" s="54">
        <f>[4]STA_SP1_NO!$H$170</f>
        <v>363</v>
      </c>
      <c r="G21" s="62">
        <f>[5]STA_SP1_NO!$H$170</f>
        <v>217</v>
      </c>
      <c r="H21" s="371">
        <f>[6]STA_SP1_NO!$H$170</f>
        <v>78</v>
      </c>
      <c r="I21" s="62">
        <f>[7]STA_SP1_NO!$H$170</f>
        <v>51</v>
      </c>
      <c r="J21" s="54">
        <f>[8]STA_SP1_NO!$H$170</f>
        <v>151</v>
      </c>
      <c r="K21" s="62">
        <f>[9]STA_SP1_NO!$H$170</f>
        <v>93</v>
      </c>
      <c r="L21" s="54">
        <f>[10]STA_SP1_NO!$H$170</f>
        <v>165</v>
      </c>
      <c r="M21" s="374">
        <f>[11]STA_SP1_NO!$H$170</f>
        <v>0</v>
      </c>
      <c r="N21" s="369">
        <f t="shared" si="0"/>
        <v>1533</v>
      </c>
    </row>
    <row r="22" spans="1:14" ht="15.75" thickBot="1" x14ac:dyDescent="0.3">
      <c r="A22" s="36"/>
      <c r="B22" s="366" t="s">
        <v>36</v>
      </c>
      <c r="C22" s="359">
        <f t="shared" ref="C22:F22" si="1">SUM(C4:C21)</f>
        <v>2857</v>
      </c>
      <c r="D22" s="362">
        <f t="shared" si="1"/>
        <v>2681</v>
      </c>
      <c r="E22" s="361">
        <f>SUM(E4:E21)</f>
        <v>1168</v>
      </c>
      <c r="F22" s="362">
        <f t="shared" si="1"/>
        <v>2680</v>
      </c>
      <c r="G22" s="350">
        <f t="shared" ref="G22:M22" si="2">SUM(G4:G21)</f>
        <v>3258</v>
      </c>
      <c r="H22" s="362">
        <f t="shared" si="2"/>
        <v>2711</v>
      </c>
      <c r="I22" s="350">
        <f t="shared" si="2"/>
        <v>1722</v>
      </c>
      <c r="J22" s="363">
        <f t="shared" si="2"/>
        <v>1410</v>
      </c>
      <c r="K22" s="350">
        <f t="shared" si="2"/>
        <v>1366</v>
      </c>
      <c r="L22" s="362">
        <f t="shared" si="2"/>
        <v>3167</v>
      </c>
      <c r="M22" s="364">
        <f t="shared" si="2"/>
        <v>141</v>
      </c>
      <c r="N22" s="365">
        <f t="shared" si="0"/>
        <v>23161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"/>
      <c r="I23" s="341"/>
      <c r="J23" s="1"/>
      <c r="K23" s="341"/>
      <c r="L23" s="1"/>
      <c r="M23" s="341"/>
      <c r="N23" s="1"/>
    </row>
    <row r="24" spans="1:14" ht="15.75" thickBot="1" x14ac:dyDescent="0.3">
      <c r="A24" s="469" t="s">
        <v>30</v>
      </c>
      <c r="B24" s="470"/>
      <c r="C24" s="48">
        <f>C22/N22</f>
        <v>0.12335391390699883</v>
      </c>
      <c r="D24" s="47">
        <f>D22/N22</f>
        <v>0.11575493286127542</v>
      </c>
      <c r="E24" s="48">
        <f>E22/N22</f>
        <v>5.0429601485255389E-2</v>
      </c>
      <c r="F24" s="47">
        <f>F22/N22</f>
        <v>0.11571175683260654</v>
      </c>
      <c r="G24" s="48">
        <f>G22/N22</f>
        <v>0.14066750140322093</v>
      </c>
      <c r="H24" s="47">
        <f>H22/N22</f>
        <v>0.11705021372134192</v>
      </c>
      <c r="I24" s="48">
        <f>I22/N22</f>
        <v>7.4349121367816587E-2</v>
      </c>
      <c r="J24" s="47">
        <f>J22/N22</f>
        <v>6.0878200423125084E-2</v>
      </c>
      <c r="K24" s="48">
        <f>K22/N22</f>
        <v>5.8978455161694227E-2</v>
      </c>
      <c r="L24" s="47">
        <f>L22/N22</f>
        <v>0.13673848279435258</v>
      </c>
      <c r="M24" s="342">
        <f>M22/N22</f>
        <v>6.0878200423125084E-3</v>
      </c>
      <c r="N24" s="257">
        <f>SUM(C24:M24)</f>
        <v>1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24" t="s">
        <v>0</v>
      </c>
      <c r="B26" s="426" t="s">
        <v>1</v>
      </c>
      <c r="C26" s="483" t="s">
        <v>89</v>
      </c>
      <c r="D26" s="484"/>
      <c r="E26" s="484"/>
      <c r="F26" s="484"/>
      <c r="G26" s="484"/>
      <c r="H26" s="485"/>
      <c r="I26" s="481" t="s">
        <v>3</v>
      </c>
      <c r="J26" s="1"/>
      <c r="K26" s="1"/>
      <c r="L26" s="1"/>
      <c r="M26" s="1"/>
      <c r="N26" s="1"/>
    </row>
    <row r="27" spans="1:14" ht="23.25" thickBot="1" x14ac:dyDescent="0.3">
      <c r="A27" s="425"/>
      <c r="B27" s="428"/>
      <c r="C27" s="168" t="s">
        <v>10</v>
      </c>
      <c r="D27" s="127" t="s">
        <v>31</v>
      </c>
      <c r="E27" s="168" t="s">
        <v>7</v>
      </c>
      <c r="F27" s="127" t="s">
        <v>96</v>
      </c>
      <c r="G27" s="166" t="s">
        <v>4</v>
      </c>
      <c r="H27" s="253" t="s">
        <v>94</v>
      </c>
      <c r="I27" s="489"/>
      <c r="J27" s="81"/>
      <c r="K27" s="479" t="s">
        <v>32</v>
      </c>
      <c r="L27" s="480"/>
      <c r="M27" s="232">
        <f>N22</f>
        <v>23161</v>
      </c>
      <c r="N27" s="233">
        <f>M27/M29</f>
        <v>0.97098897413323271</v>
      </c>
    </row>
    <row r="28" spans="1:14" ht="15.75" thickBot="1" x14ac:dyDescent="0.3">
      <c r="A28" s="22">
        <v>19</v>
      </c>
      <c r="B28" s="128" t="s">
        <v>33</v>
      </c>
      <c r="C28" s="165">
        <f>[12]STA_SP2_ZO!$G$51+[12]STA_SP2_ZO!$H$51</f>
        <v>325</v>
      </c>
      <c r="D28" s="50">
        <f>[13]STA_SP2_ZO!$G$51+[13]STA_SP2_ZO!$H$51</f>
        <v>227</v>
      </c>
      <c r="E28" s="165">
        <f>[14]STA_SP2_ZO!$G$51+[14]STA_SP2_ZO!$H$51</f>
        <v>38</v>
      </c>
      <c r="F28" s="50">
        <f>[15]STA_SP2_ZO!$G$51+[15]STA_SP2_ZO!$H$51</f>
        <v>88</v>
      </c>
      <c r="G28" s="115">
        <f>[16]STA_SP2_ZO!$G$51+[16]STA_SP2_ZO!$H$51</f>
        <v>13</v>
      </c>
      <c r="H28" s="50">
        <f>[17]STA_SP2_ZO!$G$51+[17]STA_SP2_ZO!$H$51</f>
        <v>1</v>
      </c>
      <c r="I28" s="244">
        <f>SUM(C28:H28)</f>
        <v>692</v>
      </c>
      <c r="J28" s="81"/>
      <c r="K28" s="471" t="s">
        <v>33</v>
      </c>
      <c r="L28" s="472"/>
      <c r="M28" s="234">
        <f>I28</f>
        <v>692</v>
      </c>
      <c r="N28" s="235">
        <f>M28/M29</f>
        <v>2.9011025866767282E-2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73" t="s">
        <v>3</v>
      </c>
      <c r="L29" s="474"/>
      <c r="M29" s="236">
        <f>M27+M28</f>
        <v>23853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0.46965317919075145</v>
      </c>
      <c r="D30" s="82">
        <f>D28/I28</f>
        <v>0.32803468208092484</v>
      </c>
      <c r="E30" s="23">
        <f>E28/I28</f>
        <v>5.4913294797687862E-2</v>
      </c>
      <c r="F30" s="82">
        <f>F28/I28</f>
        <v>0.12716763005780346</v>
      </c>
      <c r="G30" s="23">
        <f>G28/I28</f>
        <v>1.8786127167630059E-2</v>
      </c>
      <c r="H30" s="82">
        <f>H28/I28</f>
        <v>1.4450867052023121E-3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N2:N3"/>
    <mergeCell ref="A24:B24"/>
    <mergeCell ref="C1:I1"/>
    <mergeCell ref="A2:A3"/>
    <mergeCell ref="B2:B3"/>
    <mergeCell ref="C2:M2"/>
    <mergeCell ref="K28:L28"/>
    <mergeCell ref="A30:B30"/>
    <mergeCell ref="A26:A27"/>
    <mergeCell ref="B26:B27"/>
    <mergeCell ref="K27:L27"/>
    <mergeCell ref="K29:L29"/>
    <mergeCell ref="I26:I27"/>
    <mergeCell ref="C26:H26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T20" sqref="T20"/>
    </sheetView>
  </sheetViews>
  <sheetFormatPr defaultRowHeight="15" x14ac:dyDescent="0.25"/>
  <cols>
    <col min="1" max="1" width="4.7109375" customWidth="1"/>
    <col min="2" max="2" width="27.85546875" customWidth="1"/>
    <col min="8" max="8" width="9.85546875" customWidth="1"/>
    <col min="11" max="11" width="9.140625" customWidth="1"/>
  </cols>
  <sheetData>
    <row r="1" spans="1:14" ht="27.75" customHeight="1" thickBot="1" x14ac:dyDescent="0.3">
      <c r="A1" s="26"/>
      <c r="B1" s="26"/>
      <c r="C1" s="457" t="s">
        <v>102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155" t="s">
        <v>35</v>
      </c>
    </row>
    <row r="2" spans="1:14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464" t="s">
        <v>3</v>
      </c>
    </row>
    <row r="3" spans="1:14" ht="15.75" thickBot="1" x14ac:dyDescent="0.3">
      <c r="A3" s="461"/>
      <c r="B3" s="491"/>
      <c r="C3" s="354" t="s">
        <v>68</v>
      </c>
      <c r="D3" s="375" t="s">
        <v>4</v>
      </c>
      <c r="E3" s="357" t="s">
        <v>5</v>
      </c>
      <c r="F3" s="307" t="s">
        <v>6</v>
      </c>
      <c r="G3" s="367" t="s">
        <v>8</v>
      </c>
      <c r="H3" s="356" t="s">
        <v>93</v>
      </c>
      <c r="I3" s="415" t="s">
        <v>96</v>
      </c>
      <c r="J3" s="372" t="s">
        <v>37</v>
      </c>
      <c r="K3" s="358" t="s">
        <v>92</v>
      </c>
      <c r="L3" s="307" t="s">
        <v>10</v>
      </c>
      <c r="M3" s="373" t="s">
        <v>95</v>
      </c>
      <c r="N3" s="465"/>
    </row>
    <row r="4" spans="1:14" x14ac:dyDescent="0.25">
      <c r="A4" s="30">
        <v>1</v>
      </c>
      <c r="B4" s="351" t="s">
        <v>11</v>
      </c>
      <c r="C4" s="62">
        <f>[1]STA_SP1_NO!$I$10</f>
        <v>10237.27</v>
      </c>
      <c r="D4" s="368">
        <f>[2]STA_SP1_NO!$I$10</f>
        <v>15641</v>
      </c>
      <c r="E4" s="62">
        <f>[3]STA_SP1_NO!$I$10</f>
        <v>2587</v>
      </c>
      <c r="F4" s="54">
        <f>[4]STA_SP1_NO!$I$10</f>
        <v>3995.36</v>
      </c>
      <c r="G4" s="259">
        <f>[5]STA_SP1_NO!$I$10</f>
        <v>10474.4</v>
      </c>
      <c r="H4" s="371">
        <f>[6]STA_SP1_NO!$I$10</f>
        <v>1752.68</v>
      </c>
      <c r="I4" s="62">
        <f>[7]STA_SP1_NO!$I$10</f>
        <v>2371</v>
      </c>
      <c r="J4" s="54">
        <f>[8]STA_SP1_NO!$I$10</f>
        <v>1211</v>
      </c>
      <c r="K4" s="62">
        <f>[9]STA_SP1_NO!$I$10</f>
        <v>6505.09</v>
      </c>
      <c r="L4" s="54">
        <f>[10]STA_SP1_NO!$I$10</f>
        <v>8761</v>
      </c>
      <c r="M4" s="374">
        <f>[11]STA_SP1_NO!$I$10</f>
        <v>123</v>
      </c>
      <c r="N4" s="249">
        <f t="shared" ref="N4:N21" si="0">SUM(C4:M4)</f>
        <v>63658.8</v>
      </c>
    </row>
    <row r="5" spans="1:14" x14ac:dyDescent="0.25">
      <c r="A5" s="32">
        <v>2</v>
      </c>
      <c r="B5" s="352" t="s">
        <v>12</v>
      </c>
      <c r="C5" s="62">
        <f>[1]STA_SP1_NO!$I$20</f>
        <v>8030.93</v>
      </c>
      <c r="D5" s="368">
        <f>[2]STA_SP1_NO!$I$20</f>
        <v>13239.74</v>
      </c>
      <c r="E5" s="62">
        <f>[3]STA_SP1_NO!$I$20</f>
        <v>1945</v>
      </c>
      <c r="F5" s="54">
        <f>[4]STA_SP1_NO!$I$20</f>
        <v>7025.07</v>
      </c>
      <c r="G5" s="259">
        <f>[5]STA_SP1_NO!$I$20</f>
        <v>13333.66</v>
      </c>
      <c r="H5" s="371">
        <f>[6]STA_SP1_NO!$I$20</f>
        <v>0</v>
      </c>
      <c r="I5" s="62">
        <f>[7]STA_SP1_NO!$I$20</f>
        <v>1387</v>
      </c>
      <c r="J5" s="54">
        <f>[8]STA_SP1_NO!$I$20</f>
        <v>0</v>
      </c>
      <c r="K5" s="62">
        <f>[9]STA_SP1_NO!$I$20</f>
        <v>6117.7</v>
      </c>
      <c r="L5" s="54">
        <f>[10]STA_SP1_NO!$I$20</f>
        <v>15558</v>
      </c>
      <c r="M5" s="374">
        <f>[11]STA_SP1_NO!$I$20</f>
        <v>0</v>
      </c>
      <c r="N5" s="249">
        <f t="shared" si="0"/>
        <v>66637.099999999991</v>
      </c>
    </row>
    <row r="6" spans="1:14" x14ac:dyDescent="0.25">
      <c r="A6" s="32">
        <v>3</v>
      </c>
      <c r="B6" s="352" t="s">
        <v>13</v>
      </c>
      <c r="C6" s="62">
        <f>[1]STA_SP1_NO!$I$24</f>
        <v>38929.949999999997</v>
      </c>
      <c r="D6" s="368">
        <f>[2]STA_SP1_NO!$I$24</f>
        <v>40263.03</v>
      </c>
      <c r="E6" s="62">
        <f>[3]STA_SP1_NO!$I$24</f>
        <v>13664</v>
      </c>
      <c r="F6" s="54">
        <f>[4]STA_SP1_NO!$I$24</f>
        <v>56265.84</v>
      </c>
      <c r="G6" s="259">
        <f>[5]STA_SP1_NO!$I$24</f>
        <v>34124.839999999997</v>
      </c>
      <c r="H6" s="371">
        <f>[6]STA_SP1_NO!$I$24</f>
        <v>8825.8799999999992</v>
      </c>
      <c r="I6" s="62">
        <f>[7]STA_SP1_NO!$I$24</f>
        <v>9825</v>
      </c>
      <c r="J6" s="54">
        <f>[8]STA_SP1_NO!$I$24</f>
        <v>19915</v>
      </c>
      <c r="K6" s="62">
        <f>[9]STA_SP1_NO!$I$24</f>
        <v>30500.03</v>
      </c>
      <c r="L6" s="54">
        <f>[10]STA_SP1_NO!$I$24</f>
        <v>27017</v>
      </c>
      <c r="M6" s="374">
        <f>[11]STA_SP1_NO!$I$24</f>
        <v>680</v>
      </c>
      <c r="N6" s="249">
        <f t="shared" si="0"/>
        <v>280010.57</v>
      </c>
    </row>
    <row r="7" spans="1:14" x14ac:dyDescent="0.25">
      <c r="A7" s="32">
        <v>4</v>
      </c>
      <c r="B7" s="352" t="s">
        <v>14</v>
      </c>
      <c r="C7" s="62">
        <f>[1]STA_SP1_NO!$I$27</f>
        <v>0</v>
      </c>
      <c r="D7" s="368">
        <f>[2]STA_SP1_NO!$I$27</f>
        <v>0</v>
      </c>
      <c r="E7" s="62">
        <f>[3]STA_SP1_NO!$I$27</f>
        <v>0</v>
      </c>
      <c r="F7" s="54">
        <f>[4]STA_SP1_NO!$I$27</f>
        <v>0</v>
      </c>
      <c r="G7" s="259">
        <f>[5]STA_SP1_NO!$I$27</f>
        <v>0</v>
      </c>
      <c r="H7" s="371">
        <f>[6]STA_SP1_NO!$I$27</f>
        <v>0</v>
      </c>
      <c r="I7" s="62">
        <f>[7]STA_SP1_NO!$I$27</f>
        <v>0</v>
      </c>
      <c r="J7" s="54">
        <f>[8]STA_SP1_NO!$I$27</f>
        <v>0</v>
      </c>
      <c r="K7" s="62">
        <f>[9]STA_SP1_NO!$I$27</f>
        <v>0</v>
      </c>
      <c r="L7" s="54">
        <f>[10]STA_SP1_NO!$I$27</f>
        <v>0</v>
      </c>
      <c r="M7" s="374">
        <f>[11]STA_SP1_NO!$I$27</f>
        <v>0</v>
      </c>
      <c r="N7" s="249">
        <f t="shared" si="0"/>
        <v>0</v>
      </c>
    </row>
    <row r="8" spans="1:14" x14ac:dyDescent="0.25">
      <c r="A8" s="32">
        <v>5</v>
      </c>
      <c r="B8" s="352" t="s">
        <v>15</v>
      </c>
      <c r="C8" s="62">
        <f>[1]STA_SP1_NO!$I$30</f>
        <v>0</v>
      </c>
      <c r="D8" s="368">
        <f>[2]STA_SP1_NO!$I$30</f>
        <v>480588.19</v>
      </c>
      <c r="E8" s="62">
        <f>[3]STA_SP1_NO!$I$30</f>
        <v>0</v>
      </c>
      <c r="F8" s="54">
        <f>[4]STA_SP1_NO!$I$30</f>
        <v>0</v>
      </c>
      <c r="G8" s="259">
        <f>[5]STA_SP1_NO!$I$30</f>
        <v>0</v>
      </c>
      <c r="H8" s="371">
        <f>[6]STA_SP1_NO!$I$30</f>
        <v>0</v>
      </c>
      <c r="I8" s="62">
        <f>[7]STA_SP1_NO!$I$30</f>
        <v>0</v>
      </c>
      <c r="J8" s="54">
        <f>[8]STA_SP1_NO!$I$30</f>
        <v>0</v>
      </c>
      <c r="K8" s="62">
        <f>[9]STA_SP1_NO!$I$30</f>
        <v>0</v>
      </c>
      <c r="L8" s="54">
        <f>[10]STA_SP1_NO!$I$30</f>
        <v>0</v>
      </c>
      <c r="M8" s="374">
        <f>[11]STA_SP1_NO!$I$30</f>
        <v>0</v>
      </c>
      <c r="N8" s="249">
        <f t="shared" si="0"/>
        <v>480588.19</v>
      </c>
    </row>
    <row r="9" spans="1:14" x14ac:dyDescent="0.25">
      <c r="A9" s="32">
        <v>6</v>
      </c>
      <c r="B9" s="352" t="s">
        <v>16</v>
      </c>
      <c r="C9" s="62">
        <f>[1]STA_SP1_NO!$I$33</f>
        <v>0</v>
      </c>
      <c r="D9" s="368">
        <f>[2]STA_SP1_NO!$I$33</f>
        <v>0</v>
      </c>
      <c r="E9" s="62">
        <f>[3]STA_SP1_NO!$I$33</f>
        <v>0</v>
      </c>
      <c r="F9" s="54">
        <f>[4]STA_SP1_NO!$I$33</f>
        <v>0</v>
      </c>
      <c r="G9" s="259">
        <f>[5]STA_SP1_NO!$I$33</f>
        <v>0</v>
      </c>
      <c r="H9" s="371">
        <f>[6]STA_SP1_NO!$I$33</f>
        <v>0</v>
      </c>
      <c r="I9" s="62">
        <f>[7]STA_SP1_NO!$I$33</f>
        <v>0</v>
      </c>
      <c r="J9" s="54">
        <f>[8]STA_SP1_NO!$I$33</f>
        <v>36</v>
      </c>
      <c r="K9" s="62">
        <f>[9]STA_SP1_NO!$I$33</f>
        <v>0</v>
      </c>
      <c r="L9" s="54">
        <f>[10]STA_SP1_NO!$I$33</f>
        <v>0</v>
      </c>
      <c r="M9" s="374">
        <f>[11]STA_SP1_NO!$I$33</f>
        <v>0</v>
      </c>
      <c r="N9" s="249">
        <f t="shared" si="0"/>
        <v>36</v>
      </c>
    </row>
    <row r="10" spans="1:14" x14ac:dyDescent="0.25">
      <c r="A10" s="32">
        <v>7</v>
      </c>
      <c r="B10" s="352" t="s">
        <v>17</v>
      </c>
      <c r="C10" s="62">
        <f>[1]STA_SP1_NO!$I$36</f>
        <v>629.46</v>
      </c>
      <c r="D10" s="368">
        <f>[2]STA_SP1_NO!$I$36</f>
        <v>1465.5</v>
      </c>
      <c r="E10" s="62">
        <f>[3]STA_SP1_NO!$I$36</f>
        <v>47</v>
      </c>
      <c r="F10" s="54">
        <f>[4]STA_SP1_NO!$I$36</f>
        <v>0</v>
      </c>
      <c r="G10" s="259">
        <f>[5]STA_SP1_NO!$I$36</f>
        <v>3296</v>
      </c>
      <c r="H10" s="371">
        <f>[6]STA_SP1_NO!$I$36</f>
        <v>0</v>
      </c>
      <c r="I10" s="62">
        <f>[7]STA_SP1_NO!$I$36</f>
        <v>50</v>
      </c>
      <c r="J10" s="54">
        <f>[8]STA_SP1_NO!$I$36</f>
        <v>0</v>
      </c>
      <c r="K10" s="62">
        <f>[9]STA_SP1_NO!$I$36</f>
        <v>51.13</v>
      </c>
      <c r="L10" s="54">
        <f>[10]STA_SP1_NO!$I$36</f>
        <v>12</v>
      </c>
      <c r="M10" s="374">
        <f>[11]STA_SP1_NO!$I$36</f>
        <v>0</v>
      </c>
      <c r="N10" s="249">
        <f t="shared" si="0"/>
        <v>5551.09</v>
      </c>
    </row>
    <row r="11" spans="1:14" x14ac:dyDescent="0.25">
      <c r="A11" s="32">
        <v>8</v>
      </c>
      <c r="B11" s="352" t="s">
        <v>18</v>
      </c>
      <c r="C11" s="62">
        <f>[1]STA_SP1_NO!$I$40</f>
        <v>319110.83</v>
      </c>
      <c r="D11" s="368">
        <f>[2]STA_SP1_NO!$I$40</f>
        <v>19751.189999999999</v>
      </c>
      <c r="E11" s="62">
        <f>[3]STA_SP1_NO!$I$40</f>
        <v>303</v>
      </c>
      <c r="F11" s="54">
        <f>[4]STA_SP1_NO!$I$40</f>
        <v>17543.96</v>
      </c>
      <c r="G11" s="259">
        <f>[5]STA_SP1_NO!$I$40</f>
        <v>42237.65</v>
      </c>
      <c r="H11" s="371">
        <f>[6]STA_SP1_NO!$I$40</f>
        <v>485.44</v>
      </c>
      <c r="I11" s="62">
        <f>[7]STA_SP1_NO!$I$40</f>
        <v>4599</v>
      </c>
      <c r="J11" s="54">
        <f>[8]STA_SP1_NO!$I$40</f>
        <v>17374</v>
      </c>
      <c r="K11" s="62">
        <f>[9]STA_SP1_NO!$I$40</f>
        <v>4361.49</v>
      </c>
      <c r="L11" s="54">
        <f>[10]STA_SP1_NO!$I$40</f>
        <v>39243</v>
      </c>
      <c r="M11" s="374">
        <f>[11]STA_SP1_NO!$I$40</f>
        <v>0</v>
      </c>
      <c r="N11" s="249">
        <f t="shared" si="0"/>
        <v>465009.56000000006</v>
      </c>
    </row>
    <row r="12" spans="1:14" x14ac:dyDescent="0.25">
      <c r="A12" s="32">
        <v>9</v>
      </c>
      <c r="B12" s="352" t="s">
        <v>19</v>
      </c>
      <c r="C12" s="62">
        <f>[1]STA_SP1_NO!$I$56</f>
        <v>177765.58</v>
      </c>
      <c r="D12" s="368">
        <f>[2]STA_SP1_NO!$I$56</f>
        <v>13195.57</v>
      </c>
      <c r="E12" s="62">
        <f>[3]STA_SP1_NO!$I$56</f>
        <v>10944</v>
      </c>
      <c r="F12" s="54">
        <f>[4]STA_SP1_NO!$I$56</f>
        <v>15974.55</v>
      </c>
      <c r="G12" s="259">
        <f>[5]STA_SP1_NO!$I$56</f>
        <v>9569.64</v>
      </c>
      <c r="H12" s="371">
        <f>[6]STA_SP1_NO!$I$56</f>
        <v>459.28</v>
      </c>
      <c r="I12" s="62">
        <f>[7]STA_SP1_NO!$I$56</f>
        <v>32006</v>
      </c>
      <c r="J12" s="54">
        <f>[8]STA_SP1_NO!$I$56</f>
        <v>217</v>
      </c>
      <c r="K12" s="62">
        <f>[9]STA_SP1_NO!$I$56</f>
        <v>5942.25</v>
      </c>
      <c r="L12" s="54">
        <f>[10]STA_SP1_NO!$I$56</f>
        <v>5690</v>
      </c>
      <c r="M12" s="374">
        <f>[11]STA_SP1_NO!$I$56</f>
        <v>0</v>
      </c>
      <c r="N12" s="249">
        <f t="shared" si="0"/>
        <v>271763.87</v>
      </c>
    </row>
    <row r="13" spans="1:14" x14ac:dyDescent="0.25">
      <c r="A13" s="32">
        <v>10</v>
      </c>
      <c r="B13" s="352" t="s">
        <v>20</v>
      </c>
      <c r="C13" s="62">
        <f>[1]STA_SP1_NO!$I$88</f>
        <v>313884.14</v>
      </c>
      <c r="D13" s="368">
        <f>[2]STA_SP1_NO!$I$88</f>
        <v>295357.44</v>
      </c>
      <c r="E13" s="62">
        <f>[3]STA_SP1_NO!$I$88</f>
        <v>143492</v>
      </c>
      <c r="F13" s="54">
        <f>[4]STA_SP1_NO!$I$88</f>
        <v>249273.48</v>
      </c>
      <c r="G13" s="259">
        <f>[5]STA_SP1_NO!$I$88</f>
        <v>237151.04</v>
      </c>
      <c r="H13" s="371">
        <f>[6]STA_SP1_NO!$I$88</f>
        <v>181606.9</v>
      </c>
      <c r="I13" s="62">
        <f>[7]STA_SP1_NO!$I$88</f>
        <v>176531</v>
      </c>
      <c r="J13" s="54">
        <f>[8]STA_SP1_NO!$I$88</f>
        <v>172173</v>
      </c>
      <c r="K13" s="62">
        <f>[9]STA_SP1_NO!$I$88</f>
        <v>174407.87</v>
      </c>
      <c r="L13" s="54">
        <f>[10]STA_SP1_NO!$I$88</f>
        <v>233445</v>
      </c>
      <c r="M13" s="374">
        <f>[11]STA_SP1_NO!$I$88</f>
        <v>14853.23</v>
      </c>
      <c r="N13" s="249">
        <f t="shared" si="0"/>
        <v>2192175.1</v>
      </c>
    </row>
    <row r="14" spans="1:14" x14ac:dyDescent="0.25">
      <c r="A14" s="32">
        <v>11</v>
      </c>
      <c r="B14" s="352" t="s">
        <v>21</v>
      </c>
      <c r="C14" s="62">
        <f>[1]STA_SP1_NO!$I$124</f>
        <v>0</v>
      </c>
      <c r="D14" s="368">
        <f>[2]STA_SP1_NO!$I$124</f>
        <v>0</v>
      </c>
      <c r="E14" s="62">
        <f>[3]STA_SP1_NO!$I$124</f>
        <v>0</v>
      </c>
      <c r="F14" s="54">
        <f>[4]STA_SP1_NO!$I$124</f>
        <v>0</v>
      </c>
      <c r="G14" s="259">
        <f>[5]STA_SP1_NO!$I$124</f>
        <v>0</v>
      </c>
      <c r="H14" s="371">
        <f>[6]STA_SP1_NO!$I$124</f>
        <v>0</v>
      </c>
      <c r="I14" s="62">
        <f>[7]STA_SP1_NO!$I$124</f>
        <v>0</v>
      </c>
      <c r="J14" s="54">
        <f>[8]STA_SP1_NO!$I$124</f>
        <v>0</v>
      </c>
      <c r="K14" s="62">
        <f>[9]STA_SP1_NO!$I$124</f>
        <v>0</v>
      </c>
      <c r="L14" s="54">
        <f>[10]STA_SP1_NO!$I$124</f>
        <v>0</v>
      </c>
      <c r="M14" s="374">
        <f>[11]STA_SP1_NO!$I$124</f>
        <v>0</v>
      </c>
      <c r="N14" s="249">
        <f t="shared" si="0"/>
        <v>0</v>
      </c>
    </row>
    <row r="15" spans="1:14" x14ac:dyDescent="0.25">
      <c r="A15" s="32">
        <v>12</v>
      </c>
      <c r="B15" s="352" t="s">
        <v>22</v>
      </c>
      <c r="C15" s="62">
        <f>[1]STA_SP1_NO!$I$128</f>
        <v>0</v>
      </c>
      <c r="D15" s="368">
        <f>[2]STA_SP1_NO!$I$128</f>
        <v>6255</v>
      </c>
      <c r="E15" s="62">
        <f>[3]STA_SP1_NO!$I$128</f>
        <v>0</v>
      </c>
      <c r="F15" s="54">
        <f>[4]STA_SP1_NO!$I$128</f>
        <v>197.41</v>
      </c>
      <c r="G15" s="259">
        <f>[5]STA_SP1_NO!$I$128</f>
        <v>0</v>
      </c>
      <c r="H15" s="371">
        <f>[6]STA_SP1_NO!$I$128</f>
        <v>0</v>
      </c>
      <c r="I15" s="62">
        <f>[7]STA_SP1_NO!$I$128</f>
        <v>0</v>
      </c>
      <c r="J15" s="54">
        <f>[8]STA_SP1_NO!$I$128</f>
        <v>0</v>
      </c>
      <c r="K15" s="62">
        <f>[9]STA_SP1_NO!$I$128</f>
        <v>0</v>
      </c>
      <c r="L15" s="54">
        <f>[10]STA_SP1_NO!$I$128</f>
        <v>0</v>
      </c>
      <c r="M15" s="374">
        <f>[11]STA_SP1_NO!$I$128</f>
        <v>0</v>
      </c>
      <c r="N15" s="249">
        <f t="shared" si="0"/>
        <v>6452.41</v>
      </c>
    </row>
    <row r="16" spans="1:14" x14ac:dyDescent="0.25">
      <c r="A16" s="32">
        <v>13</v>
      </c>
      <c r="B16" s="352" t="s">
        <v>23</v>
      </c>
      <c r="C16" s="62">
        <f>[1]STA_SP1_NO!$I$132</f>
        <v>26623.45</v>
      </c>
      <c r="D16" s="368">
        <f>[2]STA_SP1_NO!$I$132</f>
        <v>6477.8</v>
      </c>
      <c r="E16" s="62">
        <f>[3]STA_SP1_NO!$I$132</f>
        <v>2624</v>
      </c>
      <c r="F16" s="54">
        <f>[4]STA_SP1_NO!$I$132</f>
        <v>2042.48</v>
      </c>
      <c r="G16" s="259">
        <f>[5]STA_SP1_NO!$I$132</f>
        <v>2868</v>
      </c>
      <c r="H16" s="371">
        <f>[6]STA_SP1_NO!$I$132</f>
        <v>64.930000000000007</v>
      </c>
      <c r="I16" s="62">
        <f>[7]STA_SP1_NO!$I$132</f>
        <v>22527</v>
      </c>
      <c r="J16" s="54">
        <f>[8]STA_SP1_NO!$I$132</f>
        <v>5769</v>
      </c>
      <c r="K16" s="62">
        <f>[9]STA_SP1_NO!$I$132</f>
        <v>17155.79</v>
      </c>
      <c r="L16" s="54">
        <f>[10]STA_SP1_NO!$I$132</f>
        <v>502</v>
      </c>
      <c r="M16" s="374">
        <f>[11]STA_SP1_NO!$I$132</f>
        <v>0</v>
      </c>
      <c r="N16" s="249">
        <f t="shared" si="0"/>
        <v>86654.450000000012</v>
      </c>
    </row>
    <row r="17" spans="1:14" x14ac:dyDescent="0.25">
      <c r="A17" s="32">
        <v>14</v>
      </c>
      <c r="B17" s="352" t="s">
        <v>24</v>
      </c>
      <c r="C17" s="62">
        <f>[1]STA_SP1_NO!$I$153</f>
        <v>0</v>
      </c>
      <c r="D17" s="368">
        <f>[2]STA_SP1_NO!$I$153</f>
        <v>2819.38</v>
      </c>
      <c r="E17" s="62">
        <f>[3]STA_SP1_NO!$I$153</f>
        <v>0</v>
      </c>
      <c r="F17" s="54">
        <f>[4]STA_SP1_NO!$I$153</f>
        <v>8421.56</v>
      </c>
      <c r="G17" s="259">
        <f>[5]STA_SP1_NO!$I$153</f>
        <v>0</v>
      </c>
      <c r="H17" s="371">
        <f>[6]STA_SP1_NO!$I$153</f>
        <v>0</v>
      </c>
      <c r="I17" s="62">
        <f>[7]STA_SP1_NO!$I$153</f>
        <v>0</v>
      </c>
      <c r="J17" s="54">
        <f>[8]STA_SP1_NO!$I$153</f>
        <v>0</v>
      </c>
      <c r="K17" s="62">
        <f>[9]STA_SP1_NO!$I$153</f>
        <v>3084.32</v>
      </c>
      <c r="L17" s="54">
        <f>[10]STA_SP1_NO!$I$153</f>
        <v>60</v>
      </c>
      <c r="M17" s="374">
        <f>[11]STA_SP1_NO!$I$153</f>
        <v>0</v>
      </c>
      <c r="N17" s="249">
        <f t="shared" si="0"/>
        <v>14385.259999999998</v>
      </c>
    </row>
    <row r="18" spans="1:14" x14ac:dyDescent="0.25">
      <c r="A18" s="32">
        <v>15</v>
      </c>
      <c r="B18" s="352" t="s">
        <v>25</v>
      </c>
      <c r="C18" s="62">
        <f>[1]STA_SP1_NO!$I$158</f>
        <v>0</v>
      </c>
      <c r="D18" s="368">
        <f>[2]STA_SP1_NO!$I$158</f>
        <v>0</v>
      </c>
      <c r="E18" s="62">
        <f>[3]STA_SP1_NO!$I$158</f>
        <v>0</v>
      </c>
      <c r="F18" s="54">
        <f>[4]STA_SP1_NO!$I$158</f>
        <v>0</v>
      </c>
      <c r="G18" s="259">
        <f>[5]STA_SP1_NO!$I$158</f>
        <v>0</v>
      </c>
      <c r="H18" s="371">
        <f>[6]STA_SP1_NO!$I$158</f>
        <v>0</v>
      </c>
      <c r="I18" s="62">
        <f>[7]STA_SP1_NO!$I$158</f>
        <v>0</v>
      </c>
      <c r="J18" s="54">
        <f>[8]STA_SP1_NO!$I$158</f>
        <v>0</v>
      </c>
      <c r="K18" s="62">
        <f>[9]STA_SP1_NO!$I$158</f>
        <v>0</v>
      </c>
      <c r="L18" s="54">
        <f>[10]STA_SP1_NO!$I$158</f>
        <v>0</v>
      </c>
      <c r="M18" s="374">
        <f>[11]STA_SP1_NO!$I$158</f>
        <v>0</v>
      </c>
      <c r="N18" s="249">
        <f t="shared" si="0"/>
        <v>0</v>
      </c>
    </row>
    <row r="19" spans="1:14" x14ac:dyDescent="0.25">
      <c r="A19" s="32">
        <v>16</v>
      </c>
      <c r="B19" s="352" t="s">
        <v>26</v>
      </c>
      <c r="C19" s="62">
        <f>[1]STA_SP1_NO!$I$161</f>
        <v>11231.12</v>
      </c>
      <c r="D19" s="368">
        <f>[2]STA_SP1_NO!$I$161</f>
        <v>0</v>
      </c>
      <c r="E19" s="62">
        <f>[3]STA_SP1_NO!$I$161</f>
        <v>0</v>
      </c>
      <c r="F19" s="54">
        <f>[4]STA_SP1_NO!$I$161</f>
        <v>2901.11</v>
      </c>
      <c r="G19" s="259">
        <f>[5]STA_SP1_NO!$I$161</f>
        <v>0</v>
      </c>
      <c r="H19" s="371">
        <f>[6]STA_SP1_NO!$I$161</f>
        <v>0</v>
      </c>
      <c r="I19" s="62">
        <f>[7]STA_SP1_NO!$I$161</f>
        <v>44706</v>
      </c>
      <c r="J19" s="54">
        <f>[8]STA_SP1_NO!$I$161</f>
        <v>0</v>
      </c>
      <c r="K19" s="62">
        <f>[9]STA_SP1_NO!$I$161</f>
        <v>0</v>
      </c>
      <c r="L19" s="54">
        <f>[10]STA_SP1_NO!$I$161</f>
        <v>0</v>
      </c>
      <c r="M19" s="374">
        <f>[11]STA_SP1_NO!$I$161</f>
        <v>0</v>
      </c>
      <c r="N19" s="249">
        <f t="shared" si="0"/>
        <v>58838.23</v>
      </c>
    </row>
    <row r="20" spans="1:14" x14ac:dyDescent="0.25">
      <c r="A20" s="32">
        <v>17</v>
      </c>
      <c r="B20" s="352" t="s">
        <v>27</v>
      </c>
      <c r="C20" s="62">
        <f>[1]STA_SP1_NO!$I$167</f>
        <v>0</v>
      </c>
      <c r="D20" s="368">
        <f>[2]STA_SP1_NO!$I$167</f>
        <v>0</v>
      </c>
      <c r="E20" s="62">
        <f>[3]STA_SP1_NO!$I$167</f>
        <v>0</v>
      </c>
      <c r="F20" s="54">
        <f>[4]STA_SP1_NO!$I$167</f>
        <v>0</v>
      </c>
      <c r="G20" s="259">
        <f>[5]STA_SP1_NO!$I$167</f>
        <v>0</v>
      </c>
      <c r="H20" s="371">
        <f>[6]STA_SP1_NO!$I$167</f>
        <v>0</v>
      </c>
      <c r="I20" s="62">
        <f>[7]STA_SP1_NO!$I$167</f>
        <v>0</v>
      </c>
      <c r="J20" s="54">
        <f>[8]STA_SP1_NO!$I$167</f>
        <v>0</v>
      </c>
      <c r="K20" s="62">
        <f>[9]STA_SP1_NO!$I$167</f>
        <v>0</v>
      </c>
      <c r="L20" s="54">
        <f>[10]STA_SP1_NO!$I$167</f>
        <v>0</v>
      </c>
      <c r="M20" s="374">
        <f>[11]STA_SP1_NO!$I$167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62">
        <f>[1]STA_SP1_NO!$I$170</f>
        <v>1271.47</v>
      </c>
      <c r="D21" s="368">
        <f>[2]STA_SP1_NO!$I$170</f>
        <v>12821.77</v>
      </c>
      <c r="E21" s="62">
        <f>[3]STA_SP1_NO!$I$170</f>
        <v>1549</v>
      </c>
      <c r="F21" s="54">
        <f>[4]STA_SP1_NO!$I$170</f>
        <v>11509.48</v>
      </c>
      <c r="G21" s="259">
        <f>[5]STA_SP1_NO!$I$170</f>
        <v>6409</v>
      </c>
      <c r="H21" s="371">
        <f>[6]STA_SP1_NO!$I$170</f>
        <v>1267.0899999999999</v>
      </c>
      <c r="I21" s="62">
        <f>[7]STA_SP1_NO!$I$170</f>
        <v>1366</v>
      </c>
      <c r="J21" s="54">
        <f>[8]STA_SP1_NO!$I$170</f>
        <v>4796</v>
      </c>
      <c r="K21" s="62">
        <f>[9]STA_SP1_NO!$I$170</f>
        <v>2685.94</v>
      </c>
      <c r="L21" s="54">
        <f>[10]STA_SP1_NO!$I$170</f>
        <v>5304</v>
      </c>
      <c r="M21" s="374">
        <f>[11]STA_SP1_NO!$I$170</f>
        <v>0</v>
      </c>
      <c r="N21" s="249">
        <f t="shared" si="0"/>
        <v>48979.75</v>
      </c>
    </row>
    <row r="22" spans="1:14" ht="15.75" thickBot="1" x14ac:dyDescent="0.3">
      <c r="A22" s="36"/>
      <c r="B22" s="366" t="s">
        <v>29</v>
      </c>
      <c r="C22" s="350">
        <f>SUM(C4:C21)</f>
        <v>907714.2</v>
      </c>
      <c r="D22" s="360">
        <f>SUM(D4:D21)</f>
        <v>907875.61</v>
      </c>
      <c r="E22" s="350">
        <f t="shared" ref="E22:F22" si="1">SUM(E4:E21)</f>
        <v>177155</v>
      </c>
      <c r="F22" s="362">
        <f t="shared" si="1"/>
        <v>375150.29999999993</v>
      </c>
      <c r="G22" s="376">
        <f t="shared" ref="G22:N22" si="2">SUM(G4:G21)</f>
        <v>359464.23</v>
      </c>
      <c r="H22" s="362">
        <f t="shared" si="2"/>
        <v>194462.19999999998</v>
      </c>
      <c r="I22" s="350">
        <f t="shared" si="2"/>
        <v>295368</v>
      </c>
      <c r="J22" s="363">
        <f t="shared" si="2"/>
        <v>221491</v>
      </c>
      <c r="K22" s="350">
        <f t="shared" si="2"/>
        <v>250811.61000000002</v>
      </c>
      <c r="L22" s="362">
        <f t="shared" si="2"/>
        <v>335592</v>
      </c>
      <c r="M22" s="364">
        <f t="shared" si="2"/>
        <v>15656.23</v>
      </c>
      <c r="N22" s="250">
        <f t="shared" si="2"/>
        <v>4040740.3800000004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ht="15.75" thickBot="1" x14ac:dyDescent="0.3">
      <c r="A24" s="469" t="s">
        <v>30</v>
      </c>
      <c r="B24" s="470"/>
      <c r="C24" s="48">
        <f>C22/N22</f>
        <v>0.22464056450961589</v>
      </c>
      <c r="D24" s="47">
        <f>D22/N22</f>
        <v>0.22468051015937823</v>
      </c>
      <c r="E24" s="48">
        <f>E22/N22</f>
        <v>4.384221289663752E-2</v>
      </c>
      <c r="F24" s="47">
        <f>F22/N22</f>
        <v>9.2841970708348237E-2</v>
      </c>
      <c r="G24" s="48">
        <f>G22/N22</f>
        <v>8.8959991535016644E-2</v>
      </c>
      <c r="H24" s="47">
        <f>H22/N22</f>
        <v>4.8125388347766099E-2</v>
      </c>
      <c r="I24" s="48">
        <f>I22/N22</f>
        <v>7.3097495068465634E-2</v>
      </c>
      <c r="J24" s="47">
        <f>J22/N22</f>
        <v>5.4814459522390793E-2</v>
      </c>
      <c r="K24" s="48">
        <f>K22/N22</f>
        <v>6.2070706458008072E-2</v>
      </c>
      <c r="L24" s="47">
        <f>L22/N22</f>
        <v>8.3052106406301701E-2</v>
      </c>
      <c r="M24" s="342">
        <f>M22/N22</f>
        <v>3.8745943880710292E-3</v>
      </c>
      <c r="N24" s="257">
        <f>SUM(C24:M24)</f>
        <v>0.99999999999999989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24" t="s">
        <v>0</v>
      </c>
      <c r="B26" s="426" t="s">
        <v>1</v>
      </c>
      <c r="C26" s="494" t="s">
        <v>89</v>
      </c>
      <c r="D26" s="494"/>
      <c r="E26" s="494"/>
      <c r="F26" s="494"/>
      <c r="G26" s="494"/>
      <c r="H26" s="494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25"/>
      <c r="B27" s="428"/>
      <c r="C27" s="189" t="s">
        <v>10</v>
      </c>
      <c r="D27" s="215" t="s">
        <v>31</v>
      </c>
      <c r="E27" s="191" t="s">
        <v>7</v>
      </c>
      <c r="F27" s="127" t="s">
        <v>96</v>
      </c>
      <c r="G27" s="166" t="s">
        <v>4</v>
      </c>
      <c r="H27" s="211" t="s">
        <v>94</v>
      </c>
      <c r="I27" s="489"/>
      <c r="J27" s="81"/>
      <c r="K27" s="438" t="s">
        <v>32</v>
      </c>
      <c r="L27" s="439"/>
      <c r="M27" s="232">
        <f>N22</f>
        <v>4040740.3800000004</v>
      </c>
      <c r="N27" s="233">
        <f>M27/M29</f>
        <v>0.97944393940414187</v>
      </c>
    </row>
    <row r="28" spans="1:14" ht="15.75" thickBot="1" x14ac:dyDescent="0.3">
      <c r="A28" s="22">
        <v>19</v>
      </c>
      <c r="B28" s="128" t="s">
        <v>33</v>
      </c>
      <c r="C28" s="193">
        <f>[12]STA_SP4_ZO!$G$51</f>
        <v>20335</v>
      </c>
      <c r="D28" s="192">
        <f>[13]STA_SP4_ZO!$G$51</f>
        <v>40276</v>
      </c>
      <c r="E28" s="194">
        <f>[14]STA_SP4_ZO!$G$51</f>
        <v>10606.41</v>
      </c>
      <c r="F28" s="50">
        <f>[15]STA_SP4_ZO!$G$51</f>
        <v>9285</v>
      </c>
      <c r="G28" s="115">
        <f>[16]STA_SP4_ZO!$G$51</f>
        <v>4202.95</v>
      </c>
      <c r="H28" s="50">
        <f>[17]STA_SP4_ZO!$G$51</f>
        <v>99.6</v>
      </c>
      <c r="I28" s="244">
        <f>SUM(C28:H28)</f>
        <v>84804.96</v>
      </c>
      <c r="J28" s="81"/>
      <c r="K28" s="438" t="s">
        <v>33</v>
      </c>
      <c r="L28" s="439"/>
      <c r="M28" s="255">
        <f>I28</f>
        <v>84804.96</v>
      </c>
      <c r="N28" s="235">
        <f>M28/M29</f>
        <v>2.0556060595858097E-2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38" t="s">
        <v>3</v>
      </c>
      <c r="L29" s="439"/>
      <c r="M29" s="256">
        <f>M27+M28</f>
        <v>4125545.3400000003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0.2397855031120821</v>
      </c>
      <c r="D30" s="82">
        <f>D28/I28</f>
        <v>0.47492505155358833</v>
      </c>
      <c r="E30" s="23">
        <f>E28/I28</f>
        <v>0.12506827430848383</v>
      </c>
      <c r="F30" s="82">
        <f>F28/I28</f>
        <v>0.1094865205997385</v>
      </c>
      <c r="G30" s="23">
        <f>G28/I28</f>
        <v>4.9560190819027558E-2</v>
      </c>
      <c r="H30" s="82">
        <f>H28/I28</f>
        <v>1.1744596070795857E-3</v>
      </c>
      <c r="I30" s="231">
        <f>I28/I28</f>
        <v>1</v>
      </c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4">
    <mergeCell ref="N2:N3"/>
    <mergeCell ref="A24:B24"/>
    <mergeCell ref="C1:K1"/>
    <mergeCell ref="A2:A3"/>
    <mergeCell ref="B2:B3"/>
    <mergeCell ref="C2:M2"/>
    <mergeCell ref="K28:L28"/>
    <mergeCell ref="A30:B30"/>
    <mergeCell ref="A26:A27"/>
    <mergeCell ref="B26:B27"/>
    <mergeCell ref="K27:L27"/>
    <mergeCell ref="K29:L29"/>
    <mergeCell ref="I26:I27"/>
    <mergeCell ref="C26:H26"/>
  </mergeCells>
  <pageMargins left="0.25" right="0.25" top="0.75" bottom="0.75" header="0.3" footer="0.3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Q15" sqref="Q15"/>
    </sheetView>
  </sheetViews>
  <sheetFormatPr defaultRowHeight="15" x14ac:dyDescent="0.25"/>
  <cols>
    <col min="1" max="1" width="6.42578125" customWidth="1"/>
    <col min="2" max="2" width="25.5703125" customWidth="1"/>
    <col min="8" max="8" width="10" customWidth="1"/>
  </cols>
  <sheetData>
    <row r="1" spans="1:14" ht="28.5" customHeight="1" thickBot="1" x14ac:dyDescent="0.3">
      <c r="A1" s="498" t="s">
        <v>103</v>
      </c>
      <c r="B1" s="498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155" t="s">
        <v>35</v>
      </c>
    </row>
    <row r="2" spans="1:14" ht="15.75" thickBot="1" x14ac:dyDescent="0.3">
      <c r="A2" s="460" t="s">
        <v>0</v>
      </c>
      <c r="B2" s="462" t="s">
        <v>1</v>
      </c>
      <c r="C2" s="377" t="s">
        <v>2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464" t="s">
        <v>3</v>
      </c>
    </row>
    <row r="3" spans="1:14" ht="21" customHeight="1" thickBot="1" x14ac:dyDescent="0.3">
      <c r="A3" s="461"/>
      <c r="B3" s="463"/>
      <c r="C3" s="66" t="s">
        <v>68</v>
      </c>
      <c r="D3" s="29" t="s">
        <v>4</v>
      </c>
      <c r="E3" s="28" t="s">
        <v>5</v>
      </c>
      <c r="F3" s="27" t="s">
        <v>6</v>
      </c>
      <c r="G3" s="335" t="s">
        <v>8</v>
      </c>
      <c r="H3" s="167" t="s">
        <v>93</v>
      </c>
      <c r="I3" s="335" t="s">
        <v>96</v>
      </c>
      <c r="J3" s="337" t="s">
        <v>37</v>
      </c>
      <c r="K3" s="21" t="s">
        <v>92</v>
      </c>
      <c r="L3" s="339" t="s">
        <v>10</v>
      </c>
      <c r="M3" s="28" t="s">
        <v>95</v>
      </c>
      <c r="N3" s="465"/>
    </row>
    <row r="4" spans="1:14" ht="15.75" thickBot="1" x14ac:dyDescent="0.3">
      <c r="A4" s="30">
        <v>1</v>
      </c>
      <c r="B4" s="31" t="s">
        <v>11</v>
      </c>
      <c r="C4" s="117">
        <f>[1]STA_SP5_NO!$G$10</f>
        <v>32415.96</v>
      </c>
      <c r="D4" s="68">
        <f>[2]STA_SP5_NO!$G$10</f>
        <v>19496.009999999998</v>
      </c>
      <c r="E4" s="117">
        <f>[3]STA_SP5_NO!$G$10</f>
        <v>9715</v>
      </c>
      <c r="F4" s="118">
        <f>[4]STA_SP5_NO!$G$10</f>
        <v>14687.11</v>
      </c>
      <c r="G4" s="143">
        <f>[5]STA_SP5_NO!$G$10</f>
        <v>33733</v>
      </c>
      <c r="H4" s="126">
        <f>[6]STA_SP5_NO!$G$10</f>
        <v>6645.2</v>
      </c>
      <c r="I4" s="143">
        <f>[7]STA_SP5_NO!$G$10</f>
        <v>11744</v>
      </c>
      <c r="J4" s="126">
        <f>[8]STA_SP5_NO!$G$10</f>
        <v>10787.59</v>
      </c>
      <c r="K4" s="143">
        <f>[9]STA_SP5_NO!$G$10</f>
        <v>21453.39</v>
      </c>
      <c r="L4" s="379">
        <f>[10]STA_SP5_NO!$G$10</f>
        <v>34493</v>
      </c>
      <c r="M4" s="381">
        <f>[11]STA_SP5_NO!$G$10</f>
        <v>863.69</v>
      </c>
      <c r="N4" s="249">
        <f t="shared" ref="N4:N21" si="0">SUM(C4:M4)</f>
        <v>196033.95</v>
      </c>
    </row>
    <row r="5" spans="1:14" ht="15.75" thickBot="1" x14ac:dyDescent="0.3">
      <c r="A5" s="32">
        <v>2</v>
      </c>
      <c r="B5" s="33" t="s">
        <v>12</v>
      </c>
      <c r="C5" s="117">
        <f>[1]STA_SP5_NO!$G$11</f>
        <v>9760.69</v>
      </c>
      <c r="D5" s="68">
        <f>[2]STA_SP5_NO!$G$11</f>
        <v>15766.9</v>
      </c>
      <c r="E5" s="117">
        <f>[3]STA_SP5_NO!$G$11</f>
        <v>2857</v>
      </c>
      <c r="F5" s="118">
        <f>[4]STA_SP5_NO!$G$11</f>
        <v>11656.68</v>
      </c>
      <c r="G5" s="143">
        <f>[5]STA_SP5_NO!$G$11</f>
        <v>8155</v>
      </c>
      <c r="H5" s="126">
        <f>[6]STA_SP5_NO!$G$11</f>
        <v>0</v>
      </c>
      <c r="I5" s="143">
        <f>[7]STA_SP5_NO!$G$11</f>
        <v>9805</v>
      </c>
      <c r="J5" s="126">
        <f>[8]STA_SP5_NO!$G$11</f>
        <v>0</v>
      </c>
      <c r="K5" s="143">
        <f>[9]STA_SP5_NO!$G$11</f>
        <v>2208.9299999999998</v>
      </c>
      <c r="L5" s="379">
        <f>[10]STA_SP5_NO!$G$11</f>
        <v>9023</v>
      </c>
      <c r="M5" s="382">
        <f>[11]STA_SP5_NO!$G$11</f>
        <v>0</v>
      </c>
      <c r="N5" s="249">
        <f t="shared" si="0"/>
        <v>69233.200000000012</v>
      </c>
    </row>
    <row r="6" spans="1:14" ht="15.75" thickBot="1" x14ac:dyDescent="0.3">
      <c r="A6" s="32">
        <v>3</v>
      </c>
      <c r="B6" s="33" t="s">
        <v>13</v>
      </c>
      <c r="C6" s="117">
        <f>[1]STA_SP5_NO!$G$12</f>
        <v>13973.73</v>
      </c>
      <c r="D6" s="68">
        <f>[2]STA_SP5_NO!$G$12</f>
        <v>9785.18</v>
      </c>
      <c r="E6" s="117">
        <f>[3]STA_SP5_NO!$G$12</f>
        <v>21642</v>
      </c>
      <c r="F6" s="118">
        <f>[4]STA_SP5_NO!$G$12</f>
        <v>26455.03</v>
      </c>
      <c r="G6" s="143">
        <f>[5]STA_SP5_NO!$G$12</f>
        <v>12658</v>
      </c>
      <c r="H6" s="126">
        <f>[6]STA_SP5_NO!$G$12</f>
        <v>76.55</v>
      </c>
      <c r="I6" s="143">
        <f>[7]STA_SP5_NO!$G$12</f>
        <v>8457</v>
      </c>
      <c r="J6" s="126">
        <f>[8]STA_SP5_NO!$G$12</f>
        <v>11860.42</v>
      </c>
      <c r="K6" s="143">
        <f>[9]STA_SP5_NO!$G$12</f>
        <v>18444</v>
      </c>
      <c r="L6" s="379">
        <f>[10]STA_SP5_NO!$G$12</f>
        <v>13743</v>
      </c>
      <c r="M6" s="381">
        <f>[11]STA_SP5_NO!$G$12</f>
        <v>4169.22</v>
      </c>
      <c r="N6" s="249">
        <f t="shared" si="0"/>
        <v>141264.13</v>
      </c>
    </row>
    <row r="7" spans="1:14" ht="15.75" thickBot="1" x14ac:dyDescent="0.3">
      <c r="A7" s="32">
        <v>4</v>
      </c>
      <c r="B7" s="33" t="s">
        <v>14</v>
      </c>
      <c r="C7" s="117">
        <f>[1]STA_SP5_NO!$G$13</f>
        <v>0</v>
      </c>
      <c r="D7" s="68">
        <f>[2]STA_SP5_NO!$G$13</f>
        <v>0</v>
      </c>
      <c r="E7" s="117">
        <f>[3]STA_SP5_NO!$G$13</f>
        <v>0</v>
      </c>
      <c r="F7" s="118">
        <f>[4]STA_SP5_NO!$G$13</f>
        <v>0</v>
      </c>
      <c r="G7" s="143">
        <f>[5]STA_SP5_NO!$G$13</f>
        <v>0</v>
      </c>
      <c r="H7" s="126">
        <f>[6]STA_SP5_NO!$G$13</f>
        <v>0</v>
      </c>
      <c r="I7" s="143">
        <f>[7]STA_SP5_NO!$G$13</f>
        <v>0</v>
      </c>
      <c r="J7" s="126">
        <f>[8]STA_SP5_NO!$G$13</f>
        <v>0</v>
      </c>
      <c r="K7" s="143">
        <f>[9]STA_SP5_NO!$G$13</f>
        <v>0</v>
      </c>
      <c r="L7" s="379">
        <f>[10]STA_SP5_NO!$G$13</f>
        <v>0</v>
      </c>
      <c r="M7" s="383">
        <f>[11]STA_SP5_NO!$G$13</f>
        <v>0</v>
      </c>
      <c r="N7" s="249">
        <f t="shared" si="0"/>
        <v>0</v>
      </c>
    </row>
    <row r="8" spans="1:14" ht="15.75" thickBot="1" x14ac:dyDescent="0.3">
      <c r="A8" s="32">
        <v>5</v>
      </c>
      <c r="B8" s="33" t="s">
        <v>15</v>
      </c>
      <c r="C8" s="117">
        <f>[1]STA_SP5_NO!$G$14</f>
        <v>0</v>
      </c>
      <c r="D8" s="68">
        <f>[2]STA_SP5_NO!$G$14</f>
        <v>0</v>
      </c>
      <c r="E8" s="117">
        <f>[3]STA_SP5_NO!$G$14</f>
        <v>0</v>
      </c>
      <c r="F8" s="118">
        <f>[4]STA_SP5_NO!$G$14</f>
        <v>0</v>
      </c>
      <c r="G8" s="143">
        <f>[5]STA_SP5_NO!$G$14</f>
        <v>0</v>
      </c>
      <c r="H8" s="126">
        <f>[6]STA_SP5_NO!$G$14</f>
        <v>0</v>
      </c>
      <c r="I8" s="143">
        <f>[7]STA_SP5_NO!$G$14</f>
        <v>0</v>
      </c>
      <c r="J8" s="126">
        <f>[8]STA_SP5_NO!$G$14</f>
        <v>0</v>
      </c>
      <c r="K8" s="143">
        <f>[9]STA_SP5_NO!$G$14</f>
        <v>0</v>
      </c>
      <c r="L8" s="379">
        <f>[10]STA_SP5_NO!$G$14</f>
        <v>0</v>
      </c>
      <c r="M8" s="383">
        <f>[11]STA_SP5_NO!$G$14</f>
        <v>0</v>
      </c>
      <c r="N8" s="249">
        <f t="shared" si="0"/>
        <v>0</v>
      </c>
    </row>
    <row r="9" spans="1:14" ht="15.75" thickBot="1" x14ac:dyDescent="0.3">
      <c r="A9" s="32">
        <v>6</v>
      </c>
      <c r="B9" s="33" t="s">
        <v>16</v>
      </c>
      <c r="C9" s="117">
        <f>[1]STA_SP5_NO!$G$15</f>
        <v>0</v>
      </c>
      <c r="D9" s="68">
        <f>[2]STA_SP5_NO!$G$15</f>
        <v>0</v>
      </c>
      <c r="E9" s="117">
        <f>[3]STA_SP5_NO!$G$15</f>
        <v>0</v>
      </c>
      <c r="F9" s="118">
        <f>[4]STA_SP5_NO!$G$15</f>
        <v>0</v>
      </c>
      <c r="G9" s="143">
        <f>[5]STA_SP5_NO!$G$15</f>
        <v>0</v>
      </c>
      <c r="H9" s="126">
        <f>[6]STA_SP5_NO!$G$15</f>
        <v>0</v>
      </c>
      <c r="I9" s="143">
        <f>[7]STA_SP5_NO!$G$15</f>
        <v>0</v>
      </c>
      <c r="J9" s="126">
        <f>[8]STA_SP5_NO!$G$15</f>
        <v>0</v>
      </c>
      <c r="K9" s="143">
        <f>[9]STA_SP5_NO!$G$15</f>
        <v>0</v>
      </c>
      <c r="L9" s="379">
        <f>[10]STA_SP5_NO!$G$15</f>
        <v>0</v>
      </c>
      <c r="M9" s="383">
        <f>[11]STA_SP5_NO!$G$15</f>
        <v>0</v>
      </c>
      <c r="N9" s="249">
        <f t="shared" si="0"/>
        <v>0</v>
      </c>
    </row>
    <row r="10" spans="1:14" ht="15.75" thickBot="1" x14ac:dyDescent="0.3">
      <c r="A10" s="32">
        <v>7</v>
      </c>
      <c r="B10" s="33" t="s">
        <v>17</v>
      </c>
      <c r="C10" s="117">
        <f>[1]STA_SP5_NO!$G$16</f>
        <v>379.75</v>
      </c>
      <c r="D10" s="68">
        <f>[2]STA_SP5_NO!$G$16</f>
        <v>0</v>
      </c>
      <c r="E10" s="117">
        <f>[3]STA_SP5_NO!$G$16</f>
        <v>601</v>
      </c>
      <c r="F10" s="118">
        <f>[4]STA_SP5_NO!$G$16</f>
        <v>0</v>
      </c>
      <c r="G10" s="143">
        <f>[5]STA_SP5_NO!$G$16</f>
        <v>24</v>
      </c>
      <c r="H10" s="126">
        <f>[6]STA_SP5_NO!$G$16</f>
        <v>0</v>
      </c>
      <c r="I10" s="143">
        <f>[7]STA_SP5_NO!$G$16</f>
        <v>0</v>
      </c>
      <c r="J10" s="126">
        <f>[8]STA_SP5_NO!$G$16</f>
        <v>0</v>
      </c>
      <c r="K10" s="143">
        <f>[9]STA_SP5_NO!$G$16</f>
        <v>343</v>
      </c>
      <c r="L10" s="379">
        <f>[10]STA_SP5_NO!$G$16</f>
        <v>1484</v>
      </c>
      <c r="M10" s="383">
        <f>[11]STA_SP5_NO!$G$16</f>
        <v>0</v>
      </c>
      <c r="N10" s="249">
        <f t="shared" si="0"/>
        <v>2831.75</v>
      </c>
    </row>
    <row r="11" spans="1:14" ht="15.75" thickBot="1" x14ac:dyDescent="0.3">
      <c r="A11" s="32">
        <v>8</v>
      </c>
      <c r="B11" s="33" t="s">
        <v>18</v>
      </c>
      <c r="C11" s="117">
        <f>[1]STA_SP5_NO!$G$17</f>
        <v>21190.71</v>
      </c>
      <c r="D11" s="68">
        <f>[2]STA_SP5_NO!$G$17</f>
        <v>4095.9</v>
      </c>
      <c r="E11" s="117">
        <f>[3]STA_SP5_NO!$G$17</f>
        <v>1076</v>
      </c>
      <c r="F11" s="118">
        <f>[4]STA_SP5_NO!$G$17</f>
        <v>7062.32</v>
      </c>
      <c r="G11" s="143">
        <f>[5]STA_SP5_NO!$G$17</f>
        <v>23274</v>
      </c>
      <c r="H11" s="126">
        <f>[6]STA_SP5_NO!$G$17</f>
        <v>22.23</v>
      </c>
      <c r="I11" s="143">
        <f>[7]STA_SP5_NO!$G$17</f>
        <v>2623</v>
      </c>
      <c r="J11" s="126">
        <f>[8]STA_SP5_NO!$G$17</f>
        <v>14842</v>
      </c>
      <c r="K11" s="143">
        <f>[9]STA_SP5_NO!$G$17</f>
        <v>1927.36</v>
      </c>
      <c r="L11" s="379">
        <f>[10]STA_SP5_NO!$G$17</f>
        <v>3295</v>
      </c>
      <c r="M11" s="381">
        <f>[11]STA_SP5_NO!$G$17</f>
        <v>177.8</v>
      </c>
      <c r="N11" s="249">
        <f t="shared" si="0"/>
        <v>79586.320000000007</v>
      </c>
    </row>
    <row r="12" spans="1:14" ht="15.75" thickBot="1" x14ac:dyDescent="0.3">
      <c r="A12" s="32">
        <v>9</v>
      </c>
      <c r="B12" s="33" t="s">
        <v>19</v>
      </c>
      <c r="C12" s="117">
        <f>[1]STA_SP5_NO!$G$20</f>
        <v>11804.6</v>
      </c>
      <c r="D12" s="68">
        <f>[2]STA_SP5_NO!$G$20</f>
        <v>2395.23</v>
      </c>
      <c r="E12" s="117">
        <f>[3]STA_SP5_NO!$G$20</f>
        <v>11851</v>
      </c>
      <c r="F12" s="118">
        <f>[4]STA_SP5_NO!$G$20</f>
        <v>23586.1</v>
      </c>
      <c r="G12" s="143">
        <f>[5]STA_SP5_NO!$G$20</f>
        <v>6556</v>
      </c>
      <c r="H12" s="126">
        <f>[6]STA_SP5_NO!$G$20</f>
        <v>21.03</v>
      </c>
      <c r="I12" s="143">
        <f>[7]STA_SP5_NO!$G$20</f>
        <v>9048</v>
      </c>
      <c r="J12" s="126">
        <f>[8]STA_SP5_NO!$G$20</f>
        <v>185.16</v>
      </c>
      <c r="K12" s="143">
        <f>[9]STA_SP5_NO!$G$20</f>
        <v>4401.3100000000004</v>
      </c>
      <c r="L12" s="379">
        <f>[10]STA_SP5_NO!$G$20</f>
        <v>2321</v>
      </c>
      <c r="M12" s="381">
        <f>[11]STA_SP5_NO!$G$20</f>
        <v>112.57</v>
      </c>
      <c r="N12" s="249">
        <f t="shared" si="0"/>
        <v>72282.000000000015</v>
      </c>
    </row>
    <row r="13" spans="1:14" ht="15.75" thickBot="1" x14ac:dyDescent="0.3">
      <c r="A13" s="32">
        <v>10</v>
      </c>
      <c r="B13" s="33" t="s">
        <v>20</v>
      </c>
      <c r="C13" s="117">
        <f>[1]STA_SP5_NO!$G$26</f>
        <v>284591.71999999997</v>
      </c>
      <c r="D13" s="68">
        <f>[2]STA_SP5_NO!$G$26</f>
        <v>226089.38</v>
      </c>
      <c r="E13" s="117">
        <f>[3]STA_SP5_NO!$G$26</f>
        <v>206457</v>
      </c>
      <c r="F13" s="118">
        <f>[4]STA_SP5_NO!$G$26</f>
        <v>176046.54</v>
      </c>
      <c r="G13" s="143">
        <f>[5]STA_SP5_NO!$G$26</f>
        <v>240344</v>
      </c>
      <c r="H13" s="126">
        <f>[6]STA_SP5_NO!$G$26</f>
        <v>173801.63</v>
      </c>
      <c r="I13" s="143">
        <f>[7]STA_SP5_NO!$G$26</f>
        <v>323988</v>
      </c>
      <c r="J13" s="126">
        <f>[8]STA_SP5_NO!$G$26</f>
        <v>261033</v>
      </c>
      <c r="K13" s="143">
        <f>[9]STA_SP5_NO!$G$26</f>
        <v>206443.45</v>
      </c>
      <c r="L13" s="379">
        <f>[10]STA_SP5_NO!$G$26</f>
        <v>411936</v>
      </c>
      <c r="M13" s="381">
        <f>[11]STA_SP5_NO!$G$26</f>
        <v>26777.919999999998</v>
      </c>
      <c r="N13" s="249">
        <f t="shared" si="0"/>
        <v>2537508.64</v>
      </c>
    </row>
    <row r="14" spans="1:14" ht="15.75" thickBot="1" x14ac:dyDescent="0.3">
      <c r="A14" s="32">
        <v>11</v>
      </c>
      <c r="B14" s="33" t="s">
        <v>21</v>
      </c>
      <c r="C14" s="117">
        <f>[1]STA_SP5_NO!$G$33</f>
        <v>0</v>
      </c>
      <c r="D14" s="68">
        <f>[2]STA_SP5_NO!$G$33</f>
        <v>0</v>
      </c>
      <c r="E14" s="117">
        <f>[3]STA_SP5_NO!$G$33</f>
        <v>0</v>
      </c>
      <c r="F14" s="118">
        <f>[4]STA_SP5_NO!$G$33</f>
        <v>0</v>
      </c>
      <c r="G14" s="143">
        <f>[5]STA_SP5_NO!$G$33</f>
        <v>0</v>
      </c>
      <c r="H14" s="126">
        <f>[6]STA_SP5_NO!$G$33</f>
        <v>0</v>
      </c>
      <c r="I14" s="143">
        <f>[7]STA_SP5_NO!$G$33</f>
        <v>0</v>
      </c>
      <c r="J14" s="126">
        <f>[8]STA_SP5_NO!$G$33</f>
        <v>0</v>
      </c>
      <c r="K14" s="143">
        <f>[9]STA_SP5_NO!$G$33</f>
        <v>0</v>
      </c>
      <c r="L14" s="379">
        <f>[10]STA_SP5_NO!$G$33</f>
        <v>0</v>
      </c>
      <c r="M14" s="383">
        <f>[11]STA_SP5_NO!$G$33</f>
        <v>0</v>
      </c>
      <c r="N14" s="249">
        <f t="shared" si="0"/>
        <v>0</v>
      </c>
    </row>
    <row r="15" spans="1:14" ht="15.75" thickBot="1" x14ac:dyDescent="0.3">
      <c r="A15" s="32">
        <v>12</v>
      </c>
      <c r="B15" s="33" t="s">
        <v>22</v>
      </c>
      <c r="C15" s="117">
        <f>[1]STA_SP5_NO!$G$34</f>
        <v>0</v>
      </c>
      <c r="D15" s="68">
        <f>[2]STA_SP5_NO!$G$34</f>
        <v>0</v>
      </c>
      <c r="E15" s="117">
        <f>[3]STA_SP5_NO!$G$34</f>
        <v>0</v>
      </c>
      <c r="F15" s="118">
        <f>[4]STA_SP5_NO!$G$34</f>
        <v>0</v>
      </c>
      <c r="G15" s="143">
        <f>[5]STA_SP5_NO!$G$34</f>
        <v>0</v>
      </c>
      <c r="H15" s="126">
        <f>[6]STA_SP5_NO!$G$34</f>
        <v>0</v>
      </c>
      <c r="I15" s="143">
        <f>[7]STA_SP5_NO!$G$34</f>
        <v>0</v>
      </c>
      <c r="J15" s="126">
        <f>[8]STA_SP5_NO!$G$34</f>
        <v>0</v>
      </c>
      <c r="K15" s="143">
        <f>[9]STA_SP5_NO!$G$34</f>
        <v>0</v>
      </c>
      <c r="L15" s="379">
        <f>[10]STA_SP5_NO!$G$34</f>
        <v>0</v>
      </c>
      <c r="M15" s="383">
        <f>[11]STA_SP5_NO!$G$34</f>
        <v>0</v>
      </c>
      <c r="N15" s="249">
        <f t="shared" si="0"/>
        <v>0</v>
      </c>
    </row>
    <row r="16" spans="1:14" ht="15.75" thickBot="1" x14ac:dyDescent="0.3">
      <c r="A16" s="32">
        <v>13</v>
      </c>
      <c r="B16" s="33" t="s">
        <v>23</v>
      </c>
      <c r="C16" s="117">
        <f>[1]STA_SP5_NO!$G$35</f>
        <v>8501.4</v>
      </c>
      <c r="D16" s="68">
        <f>[2]STA_SP5_NO!$G$35</f>
        <v>837.5</v>
      </c>
      <c r="E16" s="117">
        <f>[3]STA_SP5_NO!$G$35</f>
        <v>1276</v>
      </c>
      <c r="F16" s="118">
        <f>[4]STA_SP5_NO!$G$35</f>
        <v>200</v>
      </c>
      <c r="G16" s="143">
        <f>[5]STA_SP5_NO!$G$35</f>
        <v>4186</v>
      </c>
      <c r="H16" s="126">
        <f>[6]STA_SP5_NO!$G$35</f>
        <v>193</v>
      </c>
      <c r="I16" s="143">
        <f>[7]STA_SP5_NO!$G$35</f>
        <v>6274</v>
      </c>
      <c r="J16" s="126">
        <f>[8]STA_SP5_NO!$G$35</f>
        <v>10770.67</v>
      </c>
      <c r="K16" s="143">
        <f>[9]STA_SP5_NO!$G$35</f>
        <v>2120</v>
      </c>
      <c r="L16" s="379">
        <f>[10]STA_SP5_NO!$G$35</f>
        <v>1087</v>
      </c>
      <c r="M16" s="381">
        <f>[11]STA_SP5_NO!$G$35</f>
        <v>21.8</v>
      </c>
      <c r="N16" s="249">
        <f t="shared" si="0"/>
        <v>35467.370000000003</v>
      </c>
    </row>
    <row r="17" spans="1:14" ht="15.75" thickBot="1" x14ac:dyDescent="0.3">
      <c r="A17" s="32">
        <v>14</v>
      </c>
      <c r="B17" s="33" t="s">
        <v>24</v>
      </c>
      <c r="C17" s="117">
        <f>[1]STA_SP5_NO!$G$36</f>
        <v>0</v>
      </c>
      <c r="D17" s="68">
        <f>[2]STA_SP5_NO!$G$36</f>
        <v>0</v>
      </c>
      <c r="E17" s="117">
        <f>[3]STA_SP5_NO!$G$36</f>
        <v>0</v>
      </c>
      <c r="F17" s="118">
        <f>[4]STA_SP5_NO!$G$36</f>
        <v>0</v>
      </c>
      <c r="G17" s="143">
        <f>[5]STA_SP5_NO!$G$36</f>
        <v>0</v>
      </c>
      <c r="H17" s="126">
        <f>[6]STA_SP5_NO!$G$36</f>
        <v>0</v>
      </c>
      <c r="I17" s="143">
        <f>[7]STA_SP5_NO!$G$36</f>
        <v>0</v>
      </c>
      <c r="J17" s="126">
        <f>[8]STA_SP5_NO!$G$36</f>
        <v>0</v>
      </c>
      <c r="K17" s="143">
        <f>[9]STA_SP5_NO!$G$36</f>
        <v>410</v>
      </c>
      <c r="L17" s="379">
        <f>[10]STA_SP5_NO!$G$36</f>
        <v>0</v>
      </c>
      <c r="M17" s="383">
        <f>[11]STA_SP5_NO!$G$36</f>
        <v>0</v>
      </c>
      <c r="N17" s="249">
        <f t="shared" si="0"/>
        <v>410</v>
      </c>
    </row>
    <row r="18" spans="1:14" ht="15.75" thickBot="1" x14ac:dyDescent="0.3">
      <c r="A18" s="32">
        <v>15</v>
      </c>
      <c r="B18" s="33" t="s">
        <v>25</v>
      </c>
      <c r="C18" s="117">
        <f>[1]STA_SP5_NO!$G$37</f>
        <v>0</v>
      </c>
      <c r="D18" s="68">
        <f>[2]STA_SP5_NO!$G$37</f>
        <v>0</v>
      </c>
      <c r="E18" s="117">
        <f>[3]STA_SP5_NO!$G$37</f>
        <v>0</v>
      </c>
      <c r="F18" s="118">
        <f>[4]STA_SP5_NO!$G$37</f>
        <v>0</v>
      </c>
      <c r="G18" s="143">
        <f>[5]STA_SP5_NO!$G$37</f>
        <v>0</v>
      </c>
      <c r="H18" s="126">
        <f>[6]STA_SP5_NO!$G$37</f>
        <v>0</v>
      </c>
      <c r="I18" s="143">
        <f>[7]STA_SP5_NO!$G$37</f>
        <v>0</v>
      </c>
      <c r="J18" s="126">
        <f>[8]STA_SP5_NO!$G$37</f>
        <v>0</v>
      </c>
      <c r="K18" s="143">
        <f>[9]STA_SP5_NO!$G$37</f>
        <v>0</v>
      </c>
      <c r="L18" s="379">
        <f>[10]STA_SP5_NO!$G$37</f>
        <v>0</v>
      </c>
      <c r="M18" s="383">
        <f>[11]STA_SP5_NO!$G$37</f>
        <v>0</v>
      </c>
      <c r="N18" s="249">
        <f t="shared" si="0"/>
        <v>0</v>
      </c>
    </row>
    <row r="19" spans="1:14" ht="15.75" thickBot="1" x14ac:dyDescent="0.3">
      <c r="A19" s="32">
        <v>16</v>
      </c>
      <c r="B19" s="33" t="s">
        <v>26</v>
      </c>
      <c r="C19" s="117">
        <f>[1]STA_SP5_NO!$G$38</f>
        <v>0</v>
      </c>
      <c r="D19" s="68">
        <f>[2]STA_SP5_NO!$G$38</f>
        <v>0</v>
      </c>
      <c r="E19" s="117">
        <f>[3]STA_SP5_NO!$G$38</f>
        <v>86</v>
      </c>
      <c r="F19" s="118">
        <f>[4]STA_SP5_NO!$G$38</f>
        <v>0</v>
      </c>
      <c r="G19" s="143">
        <f>[5]STA_SP5_NO!$G$38</f>
        <v>0</v>
      </c>
      <c r="H19" s="126">
        <f>[6]STA_SP5_NO!$G$38</f>
        <v>0</v>
      </c>
      <c r="I19" s="143">
        <f>[7]STA_SP5_NO!$G$38</f>
        <v>0</v>
      </c>
      <c r="J19" s="126">
        <f>[8]STA_SP5_NO!$G$38</f>
        <v>0</v>
      </c>
      <c r="K19" s="143">
        <f>[9]STA_SP5_NO!$G$38</f>
        <v>25</v>
      </c>
      <c r="L19" s="379">
        <f>[10]STA_SP5_NO!$G$38</f>
        <v>28</v>
      </c>
      <c r="M19" s="383">
        <f>[11]STA_SP5_NO!$G$38</f>
        <v>0</v>
      </c>
      <c r="N19" s="249">
        <f t="shared" si="0"/>
        <v>139</v>
      </c>
    </row>
    <row r="20" spans="1:14" ht="15.75" thickBot="1" x14ac:dyDescent="0.3">
      <c r="A20" s="32">
        <v>17</v>
      </c>
      <c r="B20" s="33" t="s">
        <v>27</v>
      </c>
      <c r="C20" s="117">
        <f>[1]STA_SP5_NO!$G$39</f>
        <v>0</v>
      </c>
      <c r="D20" s="68">
        <f>[2]STA_SP5_NO!$G$39</f>
        <v>0</v>
      </c>
      <c r="E20" s="117">
        <f>[3]STA_SP5_NO!$G$39</f>
        <v>0</v>
      </c>
      <c r="F20" s="118">
        <f>[4]STA_SP5_NO!$G$39</f>
        <v>0</v>
      </c>
      <c r="G20" s="143">
        <f>[5]STA_SP5_NO!$G$39</f>
        <v>0</v>
      </c>
      <c r="H20" s="126">
        <f>[6]STA_SP5_NO!$G$39</f>
        <v>0</v>
      </c>
      <c r="I20" s="143">
        <f>[7]STA_SP5_NO!$G$39</f>
        <v>0</v>
      </c>
      <c r="J20" s="126">
        <f>[8]STA_SP5_NO!$G$39</f>
        <v>0</v>
      </c>
      <c r="K20" s="143">
        <f>[9]STA_SP5_NO!$G$39</f>
        <v>0</v>
      </c>
      <c r="L20" s="379">
        <f>[10]STA_SP5_NO!$G$39</f>
        <v>0</v>
      </c>
      <c r="M20" s="383">
        <f>[11]STA_SP5_NO!$G$39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17">
        <f>[1]STA_SP5_NO!$G$40</f>
        <v>2017.86</v>
      </c>
      <c r="D21" s="68">
        <f>[2]STA_SP5_NO!$G$40</f>
        <v>873.86</v>
      </c>
      <c r="E21" s="117">
        <f>[3]STA_SP5_NO!$G$40</f>
        <v>2239</v>
      </c>
      <c r="F21" s="118">
        <f>[4]STA_SP5_NO!$G$40</f>
        <v>2520.7199999999998</v>
      </c>
      <c r="G21" s="143">
        <f>[5]STA_SP5_NO!$G$40</f>
        <v>3139</v>
      </c>
      <c r="H21" s="126">
        <f>[6]STA_SP5_NO!$G$40</f>
        <v>917.85</v>
      </c>
      <c r="I21" s="143">
        <f>[7]STA_SP5_NO!$G$40</f>
        <v>824</v>
      </c>
      <c r="J21" s="126">
        <f>[8]STA_SP5_NO!$G$40</f>
        <v>4624.5600000000004</v>
      </c>
      <c r="K21" s="143">
        <f>[9]STA_SP5_NO!$G$40</f>
        <v>975</v>
      </c>
      <c r="L21" s="379">
        <f>[10]STA_SP5_NO!$G$40</f>
        <v>2997</v>
      </c>
      <c r="M21" s="383">
        <f>[11]STA_SP5_NO!$G$40</f>
        <v>16.55</v>
      </c>
      <c r="N21" s="249">
        <f t="shared" si="0"/>
        <v>21145.399999999998</v>
      </c>
    </row>
    <row r="22" spans="1:14" ht="15.75" thickBot="1" x14ac:dyDescent="0.3">
      <c r="A22" s="36"/>
      <c r="B22" s="37" t="s">
        <v>29</v>
      </c>
      <c r="C22" s="41">
        <f t="shared" ref="C22:F22" si="1">SUM(C4:C21)</f>
        <v>384636.42</v>
      </c>
      <c r="D22" s="42">
        <f>SUM(D4:D21)</f>
        <v>279339.95999999996</v>
      </c>
      <c r="E22" s="41">
        <f t="shared" si="1"/>
        <v>257800</v>
      </c>
      <c r="F22" s="39">
        <f t="shared" si="1"/>
        <v>262214.5</v>
      </c>
      <c r="G22" s="40">
        <f t="shared" ref="G22:N22" si="2">SUM(G4:G21)</f>
        <v>332069</v>
      </c>
      <c r="H22" s="39">
        <f t="shared" si="2"/>
        <v>181677.49000000002</v>
      </c>
      <c r="I22" s="40">
        <f t="shared" si="2"/>
        <v>372763</v>
      </c>
      <c r="J22" s="51">
        <f t="shared" si="2"/>
        <v>314103.39999999997</v>
      </c>
      <c r="K22" s="40">
        <f t="shared" si="2"/>
        <v>258751.44</v>
      </c>
      <c r="L22" s="380">
        <f t="shared" si="2"/>
        <v>480407</v>
      </c>
      <c r="M22" s="384">
        <f t="shared" si="2"/>
        <v>32139.549999999996</v>
      </c>
      <c r="N22" s="250">
        <f t="shared" si="2"/>
        <v>3155901.7600000002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ht="15.75" thickBot="1" x14ac:dyDescent="0.3">
      <c r="A24" s="469" t="s">
        <v>30</v>
      </c>
      <c r="B24" s="470"/>
      <c r="C24" s="48">
        <f>C22/N22</f>
        <v>0.12187845162835485</v>
      </c>
      <c r="D24" s="47">
        <f>D22/N22</f>
        <v>8.8513515705888113E-2</v>
      </c>
      <c r="E24" s="48">
        <f>E22/N22</f>
        <v>8.1688220865278133E-2</v>
      </c>
      <c r="F24" s="47">
        <f>F22/N22</f>
        <v>8.308702866593666E-2</v>
      </c>
      <c r="G24" s="48">
        <f>G22/N22</f>
        <v>0.10522158966063633</v>
      </c>
      <c r="H24" s="47">
        <f>H22/N22</f>
        <v>5.7567536576296978E-2</v>
      </c>
      <c r="I24" s="48">
        <f>I22/N22</f>
        <v>0.1181161608782144</v>
      </c>
      <c r="J24" s="47">
        <f>J22/N22</f>
        <v>9.9528890278257565E-2</v>
      </c>
      <c r="K24" s="48">
        <f>K22/N22</f>
        <v>8.1989700465200793E-2</v>
      </c>
      <c r="L24" s="47">
        <f>L22/N22</f>
        <v>0.15222495392252006</v>
      </c>
      <c r="M24" s="342">
        <f>M22/N22</f>
        <v>1.0183951353416019E-2</v>
      </c>
      <c r="N24" s="251">
        <f>SUM(C24:M24)</f>
        <v>0.99999999999999989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24" t="s">
        <v>0</v>
      </c>
      <c r="B26" s="426" t="s">
        <v>1</v>
      </c>
      <c r="C26" s="494" t="s">
        <v>89</v>
      </c>
      <c r="D26" s="494"/>
      <c r="E26" s="494"/>
      <c r="F26" s="494"/>
      <c r="G26" s="494"/>
      <c r="H26" s="494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25"/>
      <c r="B27" s="428"/>
      <c r="C27" s="189" t="s">
        <v>10</v>
      </c>
      <c r="D27" s="215" t="s">
        <v>31</v>
      </c>
      <c r="E27" s="191" t="s">
        <v>7</v>
      </c>
      <c r="F27" s="127" t="s">
        <v>96</v>
      </c>
      <c r="G27" s="166" t="s">
        <v>4</v>
      </c>
      <c r="H27" s="211" t="s">
        <v>94</v>
      </c>
      <c r="I27" s="489"/>
      <c r="J27" s="81"/>
      <c r="K27" s="438" t="s">
        <v>32</v>
      </c>
      <c r="L27" s="439"/>
      <c r="M27" s="232">
        <f>N22</f>
        <v>3155901.7600000002</v>
      </c>
      <c r="N27" s="233">
        <f>M27/M29</f>
        <v>0.98956882037482774</v>
      </c>
    </row>
    <row r="28" spans="1:14" ht="15.75" thickBot="1" x14ac:dyDescent="0.3">
      <c r="A28" s="22">
        <v>19</v>
      </c>
      <c r="B28" s="128" t="s">
        <v>33</v>
      </c>
      <c r="C28" s="193">
        <f>[12]STA_SP4_ZO!$H$51</f>
        <v>7324</v>
      </c>
      <c r="D28" s="192">
        <f>[13]STA_SP4_ZO!$H$51</f>
        <v>9145</v>
      </c>
      <c r="E28" s="194">
        <f>[14]STA_SP4_ZO!$H$51</f>
        <v>12533.94</v>
      </c>
      <c r="F28" s="50">
        <f>[15]STA_SP4_ZO!$H$51</f>
        <v>1986</v>
      </c>
      <c r="G28" s="115">
        <f>[16]STA_SP4_ZO!$H$51</f>
        <v>1867.5</v>
      </c>
      <c r="H28" s="50">
        <f>[17]STA_SP4_ZO!$H$51</f>
        <v>410.35</v>
      </c>
      <c r="I28" s="244">
        <f>SUM(C28:H28)</f>
        <v>33266.79</v>
      </c>
      <c r="J28" s="81"/>
      <c r="K28" s="438" t="s">
        <v>33</v>
      </c>
      <c r="L28" s="439"/>
      <c r="M28" s="255">
        <f>I28</f>
        <v>33266.79</v>
      </c>
      <c r="N28" s="235">
        <f>M28/M29</f>
        <v>1.043117962517221E-2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38" t="s">
        <v>3</v>
      </c>
      <c r="L29" s="439"/>
      <c r="M29" s="256">
        <f>M27+M28</f>
        <v>3189168.5500000003</v>
      </c>
      <c r="N29" s="237">
        <f>M29/M29</f>
        <v>1</v>
      </c>
    </row>
    <row r="30" spans="1:14" ht="15.75" thickBot="1" x14ac:dyDescent="0.3">
      <c r="A30" s="429" t="s">
        <v>34</v>
      </c>
      <c r="B30" s="430"/>
      <c r="C30" s="23">
        <f>C28/I28</f>
        <v>0.22015950441867099</v>
      </c>
      <c r="D30" s="82">
        <f>D28/I28</f>
        <v>0.27489878043538313</v>
      </c>
      <c r="E30" s="23">
        <f>E28/I28</f>
        <v>0.37677034664300341</v>
      </c>
      <c r="F30" s="82">
        <f>F28/I28</f>
        <v>5.9699177467979328E-2</v>
      </c>
      <c r="G30" s="23">
        <f>G28/I28</f>
        <v>5.6137066425705637E-2</v>
      </c>
      <c r="H30" s="82">
        <f>H28/I28</f>
        <v>1.2335124609257462E-2</v>
      </c>
      <c r="I30" s="231">
        <f>I28/I28</f>
        <v>1</v>
      </c>
      <c r="J30" s="1"/>
      <c r="K30" s="1"/>
      <c r="L30" s="1"/>
      <c r="M30" s="1"/>
      <c r="N30" s="1"/>
    </row>
  </sheetData>
  <mergeCells count="13">
    <mergeCell ref="N2:N3"/>
    <mergeCell ref="A24:B24"/>
    <mergeCell ref="K29:L29"/>
    <mergeCell ref="A30:B30"/>
    <mergeCell ref="A1:M1"/>
    <mergeCell ref="A26:A27"/>
    <mergeCell ref="B26:B27"/>
    <mergeCell ref="K27:L27"/>
    <mergeCell ref="K28:L28"/>
    <mergeCell ref="A2:A3"/>
    <mergeCell ref="B2:B3"/>
    <mergeCell ref="I26:I27"/>
    <mergeCell ref="C26:H26"/>
  </mergeCells>
  <pageMargins left="0.7" right="0.7" top="0.75" bottom="0.75" header="0.3" footer="0.3"/>
  <pageSetup paperSize="9"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H26" sqref="H26"/>
    </sheetView>
  </sheetViews>
  <sheetFormatPr defaultRowHeight="15" x14ac:dyDescent="0.25"/>
  <cols>
    <col min="1" max="1" width="3.85546875" customWidth="1"/>
    <col min="2" max="2" width="27.85546875" customWidth="1"/>
  </cols>
  <sheetData>
    <row r="1" spans="1:14" ht="24.75" customHeight="1" thickBot="1" x14ac:dyDescent="0.3">
      <c r="A1" s="26"/>
      <c r="B1" s="26"/>
      <c r="C1" s="457" t="s">
        <v>104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52"/>
    </row>
    <row r="2" spans="1:14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507" t="s">
        <v>3</v>
      </c>
    </row>
    <row r="3" spans="1:14" x14ac:dyDescent="0.25">
      <c r="A3" s="499"/>
      <c r="B3" s="501"/>
      <c r="C3" s="510" t="s">
        <v>68</v>
      </c>
      <c r="D3" s="512" t="s">
        <v>4</v>
      </c>
      <c r="E3" s="503" t="s">
        <v>5</v>
      </c>
      <c r="F3" s="462" t="s">
        <v>6</v>
      </c>
      <c r="G3" s="514" t="s">
        <v>8</v>
      </c>
      <c r="H3" s="462" t="s">
        <v>93</v>
      </c>
      <c r="I3" s="503" t="s">
        <v>96</v>
      </c>
      <c r="J3" s="505" t="s">
        <v>37</v>
      </c>
      <c r="K3" s="503" t="s">
        <v>92</v>
      </c>
      <c r="L3" s="462" t="s">
        <v>10</v>
      </c>
      <c r="M3" s="516" t="s">
        <v>95</v>
      </c>
      <c r="N3" s="508"/>
    </row>
    <row r="4" spans="1:14" ht="15.75" thickBot="1" x14ac:dyDescent="0.3">
      <c r="A4" s="500"/>
      <c r="B4" s="502"/>
      <c r="C4" s="511"/>
      <c r="D4" s="513"/>
      <c r="E4" s="500"/>
      <c r="F4" s="500"/>
      <c r="G4" s="515"/>
      <c r="H4" s="463"/>
      <c r="I4" s="504"/>
      <c r="J4" s="506"/>
      <c r="K4" s="504"/>
      <c r="L4" s="463"/>
      <c r="M4" s="517"/>
      <c r="N4" s="509"/>
    </row>
    <row r="5" spans="1:14" ht="15.75" thickBot="1" x14ac:dyDescent="0.3">
      <c r="A5" s="30">
        <v>1</v>
      </c>
      <c r="B5" s="31" t="s">
        <v>38</v>
      </c>
      <c r="C5" s="117">
        <f>[1]STA_SP2_NO!$C$11</f>
        <v>44243</v>
      </c>
      <c r="D5" s="68">
        <f>[2]STA_SP2_NO!$C$11</f>
        <v>22820</v>
      </c>
      <c r="E5" s="117">
        <f>[3]STA_SP2_NO!$C$11</f>
        <v>15054</v>
      </c>
      <c r="F5" s="118">
        <f>[4]STA_SP2_NO!$C$11</f>
        <v>25543</v>
      </c>
      <c r="G5" s="385">
        <f>[5]STA_SP2_NO!$C$11</f>
        <v>26398</v>
      </c>
      <c r="H5" s="126">
        <f>[6]STA_SP2_NO!$C$11</f>
        <v>38887</v>
      </c>
      <c r="I5" s="143">
        <f>[7]STA_SP2_NO!$C$11</f>
        <v>53985</v>
      </c>
      <c r="J5" s="126">
        <f>[8]STA_SP2_NO!$C$11</f>
        <v>32612</v>
      </c>
      <c r="K5" s="143">
        <f>[9]STA_SP2_NO!$C$11</f>
        <v>17966</v>
      </c>
      <c r="L5" s="379">
        <f>[10]STA_SP2_NO!$C$11</f>
        <v>39611</v>
      </c>
      <c r="M5" s="332">
        <f>[11]STA_SP2_NO!$C$11</f>
        <v>0</v>
      </c>
      <c r="N5" s="249">
        <f t="shared" ref="N5:N17" si="0">SUM(C5:M5)</f>
        <v>317119</v>
      </c>
    </row>
    <row r="6" spans="1:14" ht="15.75" thickBot="1" x14ac:dyDescent="0.3">
      <c r="A6" s="32">
        <v>2</v>
      </c>
      <c r="B6" s="33" t="s">
        <v>39</v>
      </c>
      <c r="C6" s="117">
        <f>[1]STA_SP2_NO!$C$12</f>
        <v>5270</v>
      </c>
      <c r="D6" s="68">
        <f>[2]STA_SP2_NO!$C$12</f>
        <v>2584</v>
      </c>
      <c r="E6" s="117">
        <f>[3]STA_SP2_NO!$C$12</f>
        <v>1600</v>
      </c>
      <c r="F6" s="118">
        <f>[4]STA_SP2_NO!$C$12</f>
        <v>3581</v>
      </c>
      <c r="G6" s="385">
        <f>[5]STA_SP2_NO!$C$12</f>
        <v>2548</v>
      </c>
      <c r="H6" s="126">
        <f>[6]STA_SP2_NO!$C$12</f>
        <v>3307</v>
      </c>
      <c r="I6" s="143">
        <f>[7]STA_SP2_NO!$C$12</f>
        <v>6519</v>
      </c>
      <c r="J6" s="126">
        <f>[8]STA_SP2_NO!$C$12</f>
        <v>3457</v>
      </c>
      <c r="K6" s="143">
        <f>[9]STA_SP2_NO!$C$12</f>
        <v>2236</v>
      </c>
      <c r="L6" s="379">
        <f>[10]STA_SP2_NO!$C$12</f>
        <v>3803</v>
      </c>
      <c r="M6" s="332">
        <f>[11]STA_SP2_NO!$C$12</f>
        <v>0</v>
      </c>
      <c r="N6" s="249">
        <f t="shared" si="0"/>
        <v>34905</v>
      </c>
    </row>
    <row r="7" spans="1:14" ht="15.75" thickBot="1" x14ac:dyDescent="0.3">
      <c r="A7" s="32">
        <v>3</v>
      </c>
      <c r="B7" s="33" t="s">
        <v>40</v>
      </c>
      <c r="C7" s="117">
        <f>[1]STA_SP2_NO!$C$13</f>
        <v>291</v>
      </c>
      <c r="D7" s="68">
        <f>[2]STA_SP2_NO!$C$13</f>
        <v>170</v>
      </c>
      <c r="E7" s="117">
        <f>[3]STA_SP2_NO!$C$13</f>
        <v>101</v>
      </c>
      <c r="F7" s="118">
        <f>[4]STA_SP2_NO!$C$13</f>
        <v>192</v>
      </c>
      <c r="G7" s="385">
        <f>[5]STA_SP2_NO!$C$13</f>
        <v>263</v>
      </c>
      <c r="H7" s="126">
        <f>[6]STA_SP2_NO!$C$13</f>
        <v>127</v>
      </c>
      <c r="I7" s="143">
        <f>[7]STA_SP2_NO!$C$13</f>
        <v>376</v>
      </c>
      <c r="J7" s="126">
        <f>[8]STA_SP2_NO!$C$13</f>
        <v>297</v>
      </c>
      <c r="K7" s="143">
        <f>[9]STA_SP2_NO!$C$13</f>
        <v>111</v>
      </c>
      <c r="L7" s="379">
        <f>[10]STA_SP2_NO!$C$13</f>
        <v>121</v>
      </c>
      <c r="M7" s="332">
        <f>[11]STA_SP2_NO!$C$13</f>
        <v>0</v>
      </c>
      <c r="N7" s="249">
        <f t="shared" si="0"/>
        <v>2049</v>
      </c>
    </row>
    <row r="8" spans="1:14" ht="15.75" thickBot="1" x14ac:dyDescent="0.3">
      <c r="A8" s="32">
        <v>4</v>
      </c>
      <c r="B8" s="33" t="s">
        <v>41</v>
      </c>
      <c r="C8" s="117">
        <f>[1]STA_SP2_NO!$C$14</f>
        <v>1957</v>
      </c>
      <c r="D8" s="68">
        <f>[2]STA_SP2_NO!$C$14</f>
        <v>1256</v>
      </c>
      <c r="E8" s="117">
        <f>[3]STA_SP2_NO!$C$14</f>
        <v>321</v>
      </c>
      <c r="F8" s="118">
        <f>[4]STA_SP2_NO!$C$14</f>
        <v>719</v>
      </c>
      <c r="G8" s="385">
        <f>[5]STA_SP2_NO!$C$14</f>
        <v>679</v>
      </c>
      <c r="H8" s="126">
        <f>[6]STA_SP2_NO!$C$14</f>
        <v>1108</v>
      </c>
      <c r="I8" s="143">
        <f>[7]STA_SP2_NO!$C$14</f>
        <v>1199</v>
      </c>
      <c r="J8" s="126">
        <f>[8]STA_SP2_NO!$C$14</f>
        <v>1628</v>
      </c>
      <c r="K8" s="143">
        <f>[9]STA_SP2_NO!$C$14</f>
        <v>845</v>
      </c>
      <c r="L8" s="379">
        <f>[10]STA_SP2_NO!$C$14</f>
        <v>1636</v>
      </c>
      <c r="M8" s="332">
        <f>[11]STA_SP2_NO!$C$14</f>
        <v>0</v>
      </c>
      <c r="N8" s="249">
        <f t="shared" si="0"/>
        <v>11348</v>
      </c>
    </row>
    <row r="9" spans="1:14" ht="15.75" thickBot="1" x14ac:dyDescent="0.3">
      <c r="A9" s="32">
        <v>5</v>
      </c>
      <c r="B9" s="33" t="s">
        <v>42</v>
      </c>
      <c r="C9" s="117">
        <f>[1]STA_SP2_NO!$C$15</f>
        <v>61</v>
      </c>
      <c r="D9" s="68">
        <f>[2]STA_SP2_NO!$C$15</f>
        <v>23</v>
      </c>
      <c r="E9" s="117">
        <f>[3]STA_SP2_NO!$C$15</f>
        <v>58</v>
      </c>
      <c r="F9" s="118">
        <f>[4]STA_SP2_NO!$C$15</f>
        <v>38</v>
      </c>
      <c r="G9" s="385">
        <f>[5]STA_SP2_NO!$C$15</f>
        <v>26</v>
      </c>
      <c r="H9" s="126">
        <f>[6]STA_SP2_NO!$C$15</f>
        <v>212</v>
      </c>
      <c r="I9" s="143">
        <f>[7]STA_SP2_NO!$C$15</f>
        <v>48</v>
      </c>
      <c r="J9" s="126">
        <f>[8]STA_SP2_NO!$C$15</f>
        <v>154</v>
      </c>
      <c r="K9" s="143">
        <f>[9]STA_SP2_NO!$C$15</f>
        <v>33</v>
      </c>
      <c r="L9" s="379">
        <f>[10]STA_SP2_NO!$C$15</f>
        <v>49</v>
      </c>
      <c r="M9" s="332">
        <f>[11]STA_SP2_NO!$C$15</f>
        <v>0</v>
      </c>
      <c r="N9" s="249">
        <f t="shared" si="0"/>
        <v>702</v>
      </c>
    </row>
    <row r="10" spans="1:14" ht="15.75" thickBot="1" x14ac:dyDescent="0.3">
      <c r="A10" s="32">
        <v>6</v>
      </c>
      <c r="B10" s="33" t="s">
        <v>43</v>
      </c>
      <c r="C10" s="117">
        <f>[1]STA_SP2_NO!$C$16</f>
        <v>5474</v>
      </c>
      <c r="D10" s="68">
        <f>[2]STA_SP2_NO!$C$16</f>
        <v>3033</v>
      </c>
      <c r="E10" s="117">
        <f>[3]STA_SP2_NO!$C$16</f>
        <v>1327</v>
      </c>
      <c r="F10" s="118">
        <f>[4]STA_SP2_NO!$C$16</f>
        <v>3780</v>
      </c>
      <c r="G10" s="385">
        <f>[5]STA_SP2_NO!$C$16</f>
        <v>2697</v>
      </c>
      <c r="H10" s="126">
        <f>[6]STA_SP2_NO!$C$16</f>
        <v>5085</v>
      </c>
      <c r="I10" s="143">
        <f>[7]STA_SP2_NO!$C$16</f>
        <v>5425</v>
      </c>
      <c r="J10" s="126">
        <f>[8]STA_SP2_NO!$C$16</f>
        <v>4009</v>
      </c>
      <c r="K10" s="143">
        <f>[9]STA_SP2_NO!$C$16</f>
        <v>1750</v>
      </c>
      <c r="L10" s="379">
        <f>[10]STA_SP2_NO!$C$16</f>
        <v>5958</v>
      </c>
      <c r="M10" s="332">
        <f>[11]STA_SP2_NO!$C$16</f>
        <v>0</v>
      </c>
      <c r="N10" s="249">
        <f t="shared" si="0"/>
        <v>38538</v>
      </c>
    </row>
    <row r="11" spans="1:14" ht="15.75" thickBot="1" x14ac:dyDescent="0.3">
      <c r="A11" s="32">
        <v>7</v>
      </c>
      <c r="B11" s="33" t="s">
        <v>44</v>
      </c>
      <c r="C11" s="117">
        <f>[1]STA_SP2_NO!$C$17</f>
        <v>1654</v>
      </c>
      <c r="D11" s="68">
        <f>[2]STA_SP2_NO!$C$17</f>
        <v>1080</v>
      </c>
      <c r="E11" s="117">
        <f>[3]STA_SP2_NO!$C$17</f>
        <v>397</v>
      </c>
      <c r="F11" s="118">
        <f>[4]STA_SP2_NO!$C$17</f>
        <v>996</v>
      </c>
      <c r="G11" s="385">
        <f>[5]STA_SP2_NO!$C$17</f>
        <v>588</v>
      </c>
      <c r="H11" s="126">
        <f>[6]STA_SP2_NO!$C$17</f>
        <v>932</v>
      </c>
      <c r="I11" s="143">
        <f>[7]STA_SP2_NO!$C$17</f>
        <v>1403</v>
      </c>
      <c r="J11" s="126">
        <f>[8]STA_SP2_NO!$C$17</f>
        <v>1164</v>
      </c>
      <c r="K11" s="143">
        <f>[9]STA_SP2_NO!$C$17</f>
        <v>779</v>
      </c>
      <c r="L11" s="379">
        <f>[10]STA_SP2_NO!$C$17</f>
        <v>1176</v>
      </c>
      <c r="M11" s="332">
        <f>[11]STA_SP2_NO!$C$17</f>
        <v>0</v>
      </c>
      <c r="N11" s="249">
        <f t="shared" si="0"/>
        <v>10169</v>
      </c>
    </row>
    <row r="12" spans="1:14" ht="15.75" thickBot="1" x14ac:dyDescent="0.3">
      <c r="A12" s="32">
        <v>8</v>
      </c>
      <c r="B12" s="33" t="s">
        <v>45</v>
      </c>
      <c r="C12" s="117">
        <f>[1]STA_SP2_NO!$C$18</f>
        <v>278</v>
      </c>
      <c r="D12" s="68">
        <f>[2]STA_SP2_NO!$C$18</f>
        <v>70</v>
      </c>
      <c r="E12" s="117">
        <f>[3]STA_SP2_NO!$C$18</f>
        <v>57</v>
      </c>
      <c r="F12" s="118">
        <f>[4]STA_SP2_NO!$C$18</f>
        <v>127</v>
      </c>
      <c r="G12" s="385">
        <f>[5]STA_SP2_NO!$C$18</f>
        <v>122</v>
      </c>
      <c r="H12" s="126">
        <f>[6]STA_SP2_NO!$C$18</f>
        <v>0</v>
      </c>
      <c r="I12" s="143">
        <f>[7]STA_SP2_NO!$C$18</f>
        <v>261</v>
      </c>
      <c r="J12" s="126">
        <f>[8]STA_SP2_NO!$C$18</f>
        <v>207</v>
      </c>
      <c r="K12" s="143">
        <f>[9]STA_SP2_NO!$C$18</f>
        <v>93</v>
      </c>
      <c r="L12" s="379">
        <f>[10]STA_SP2_NO!$C$18</f>
        <v>148</v>
      </c>
      <c r="M12" s="332">
        <f>[11]STA_SP2_NO!$C$18</f>
        <v>0</v>
      </c>
      <c r="N12" s="249">
        <f t="shared" si="0"/>
        <v>1363</v>
      </c>
    </row>
    <row r="13" spans="1:14" ht="23.25" thickBot="1" x14ac:dyDescent="0.3">
      <c r="A13" s="32">
        <v>9</v>
      </c>
      <c r="B13" s="53" t="s">
        <v>46</v>
      </c>
      <c r="C13" s="117">
        <f>[1]STA_SP2_NO!$C$19</f>
        <v>0</v>
      </c>
      <c r="D13" s="68">
        <f>[2]STA_SP2_NO!$C$19</f>
        <v>0</v>
      </c>
      <c r="E13" s="117">
        <f>[3]STA_SP2_NO!$C$19</f>
        <v>0</v>
      </c>
      <c r="F13" s="118">
        <f>[4]STA_SP2_NO!$C$19</f>
        <v>0</v>
      </c>
      <c r="G13" s="385">
        <f>[5]STA_SP2_NO!$C$19</f>
        <v>0</v>
      </c>
      <c r="H13" s="126">
        <f>[6]STA_SP2_NO!$C$19</f>
        <v>0</v>
      </c>
      <c r="I13" s="143">
        <f>[7]STA_SP2_NO!$C$19</f>
        <v>0</v>
      </c>
      <c r="J13" s="126">
        <f>[8]STA_SP2_NO!$C$19</f>
        <v>0</v>
      </c>
      <c r="K13" s="143">
        <f>[9]STA_SP2_NO!$C$19</f>
        <v>0</v>
      </c>
      <c r="L13" s="379">
        <f>[10]STA_SP2_NO!$C$19</f>
        <v>0</v>
      </c>
      <c r="M13" s="332">
        <f>[11]STA_SP2_NO!$C$19</f>
        <v>0</v>
      </c>
      <c r="N13" s="249">
        <f t="shared" si="0"/>
        <v>0</v>
      </c>
    </row>
    <row r="14" spans="1:14" ht="23.25" thickBot="1" x14ac:dyDescent="0.3">
      <c r="A14" s="32">
        <v>10</v>
      </c>
      <c r="B14" s="53" t="s">
        <v>47</v>
      </c>
      <c r="C14" s="62">
        <f>[1]STA_SP2_NO!$C$20</f>
        <v>0</v>
      </c>
      <c r="D14" s="68">
        <f>[2]STA_SP2_NO!$C$20</f>
        <v>0</v>
      </c>
      <c r="E14" s="117">
        <f>[3]STA_SP2_NO!$C$20</f>
        <v>0</v>
      </c>
      <c r="F14" s="118">
        <f>[4]STA_SP2_NO!$C$20</f>
        <v>0</v>
      </c>
      <c r="G14" s="385">
        <f>[5]STA_SP2_NO!$C$20</f>
        <v>0</v>
      </c>
      <c r="H14" s="126">
        <f>[6]STA_SP2_NO!$C$20</f>
        <v>0</v>
      </c>
      <c r="I14" s="143">
        <f>[7]STA_SP2_NO!$C$20</f>
        <v>0</v>
      </c>
      <c r="J14" s="126">
        <f>[8]STA_SP2_NO!$C$20</f>
        <v>0</v>
      </c>
      <c r="K14" s="143">
        <f>[9]STA_SP2_NO!$C$20</f>
        <v>0</v>
      </c>
      <c r="L14" s="379">
        <f>[10]STA_SP2_NO!$C$20</f>
        <v>0</v>
      </c>
      <c r="M14" s="332">
        <f>[11]STA_SP2_NO!$C$20</f>
        <v>0</v>
      </c>
      <c r="N14" s="249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62">
        <f>[1]STA_SP2_NO!$C$21</f>
        <v>0</v>
      </c>
      <c r="D15" s="68">
        <f>[2]STA_SP2_NO!$C$21</f>
        <v>0</v>
      </c>
      <c r="E15" s="117">
        <f>[3]STA_SP2_NO!$C$21</f>
        <v>0</v>
      </c>
      <c r="F15" s="118">
        <f>[4]STA_SP2_NO!$C$21</f>
        <v>0</v>
      </c>
      <c r="G15" s="385">
        <f>[5]STA_SP2_NO!$C$21</f>
        <v>684</v>
      </c>
      <c r="H15" s="126">
        <f>[6]STA_SP2_NO!$C$21</f>
        <v>0</v>
      </c>
      <c r="I15" s="143">
        <f>[7]STA_SP2_NO!$C$21</f>
        <v>0</v>
      </c>
      <c r="J15" s="126">
        <f>[8]STA_SP2_NO!$C$21</f>
        <v>0</v>
      </c>
      <c r="K15" s="143">
        <f>[9]STA_SP2_NO!$C$21</f>
        <v>0</v>
      </c>
      <c r="L15" s="379">
        <f>[10]STA_SP2_NO!$C$21</f>
        <v>0</v>
      </c>
      <c r="M15" s="332">
        <f>[11]STA_SP2_NO!$C$21</f>
        <v>0</v>
      </c>
      <c r="N15" s="249">
        <f t="shared" si="0"/>
        <v>684</v>
      </c>
    </row>
    <row r="16" spans="1:14" ht="49.5" customHeight="1" thickBot="1" x14ac:dyDescent="0.3">
      <c r="A16" s="32">
        <v>12</v>
      </c>
      <c r="B16" s="53" t="s">
        <v>49</v>
      </c>
      <c r="C16" s="62">
        <f>[1]STA_SP2_NO!$C$22</f>
        <v>0</v>
      </c>
      <c r="D16" s="68">
        <f>[2]STA_SP2_NO!$C$22</f>
        <v>0</v>
      </c>
      <c r="E16" s="117">
        <f>[3]STA_SP2_NO!$C$22</f>
        <v>0</v>
      </c>
      <c r="F16" s="118">
        <f>[4]STA_SP2_NO!$C$22</f>
        <v>0</v>
      </c>
      <c r="G16" s="385">
        <f>[5]STA_SP2_NO!$C$22</f>
        <v>0</v>
      </c>
      <c r="H16" s="126">
        <f>[6]STA_SP2_NO!$C$22</f>
        <v>0</v>
      </c>
      <c r="I16" s="143">
        <f>[7]STA_SP2_NO!$C$22</f>
        <v>0</v>
      </c>
      <c r="J16" s="126">
        <f>[8]STA_SP2_NO!$C$22</f>
        <v>0</v>
      </c>
      <c r="K16" s="143">
        <f>[9]STA_SP2_NO!$C$22</f>
        <v>0</v>
      </c>
      <c r="L16" s="379">
        <f>[10]STA_SP2_NO!$C$22</f>
        <v>0</v>
      </c>
      <c r="M16" s="386">
        <f>[11]STA_SP2_NO!$C$22</f>
        <v>0</v>
      </c>
      <c r="N16" s="249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62">
        <f>[1]STA_SP2_NO!$C$23</f>
        <v>50</v>
      </c>
      <c r="D17" s="68">
        <f>[2]STA_SP2_NO!$C$23</f>
        <v>0</v>
      </c>
      <c r="E17" s="117">
        <f>[3]STA_SP2_NO!$C$23</f>
        <v>0</v>
      </c>
      <c r="F17" s="118">
        <f>[4]STA_SP2_NO!$C$23</f>
        <v>0</v>
      </c>
      <c r="G17" s="385">
        <f>[5]STA_SP2_NO!$C$23</f>
        <v>17</v>
      </c>
      <c r="H17" s="126">
        <f>[6]STA_SP2_NO!$C$23</f>
        <v>0</v>
      </c>
      <c r="I17" s="143">
        <f>[7]STA_SP2_NO!$C$23</f>
        <v>0</v>
      </c>
      <c r="J17" s="126">
        <f>[8]STA_SP2_NO!$C$23</f>
        <v>0</v>
      </c>
      <c r="K17" s="143">
        <f>[9]STA_SP2_NO!$C$23</f>
        <v>0</v>
      </c>
      <c r="L17" s="379">
        <f>[10]STA_SP2_NO!$C$23</f>
        <v>1</v>
      </c>
      <c r="M17" s="386">
        <f>[11]STA_SP2_NO!$C$23</f>
        <v>0</v>
      </c>
      <c r="N17" s="249">
        <f t="shared" si="0"/>
        <v>68</v>
      </c>
    </row>
    <row r="18" spans="1:14" ht="15.75" thickBot="1" x14ac:dyDescent="0.3">
      <c r="A18" s="36"/>
      <c r="B18" s="37" t="s">
        <v>36</v>
      </c>
      <c r="C18" s="41">
        <f t="shared" ref="C18:F18" si="1">SUM(C5:C17)</f>
        <v>59278</v>
      </c>
      <c r="D18" s="42">
        <f>SUM(D5:D17)</f>
        <v>31036</v>
      </c>
      <c r="E18" s="41">
        <f t="shared" si="1"/>
        <v>18915</v>
      </c>
      <c r="F18" s="39">
        <f t="shared" si="1"/>
        <v>34976</v>
      </c>
      <c r="G18" s="40">
        <f t="shared" ref="G18:N18" si="2">SUM(G5:G17)</f>
        <v>34022</v>
      </c>
      <c r="H18" s="39">
        <f t="shared" si="2"/>
        <v>49658</v>
      </c>
      <c r="I18" s="40">
        <f t="shared" si="2"/>
        <v>69216</v>
      </c>
      <c r="J18" s="39">
        <f t="shared" si="2"/>
        <v>43528</v>
      </c>
      <c r="K18" s="40">
        <f t="shared" si="2"/>
        <v>23813</v>
      </c>
      <c r="L18" s="380">
        <f t="shared" si="2"/>
        <v>52503</v>
      </c>
      <c r="M18" s="333">
        <f t="shared" si="2"/>
        <v>0</v>
      </c>
      <c r="N18" s="250">
        <f t="shared" si="2"/>
        <v>416945</v>
      </c>
    </row>
    <row r="19" spans="1:14" ht="15.75" thickBot="1" x14ac:dyDescent="0.3">
      <c r="A19" s="1"/>
      <c r="B19" s="1"/>
      <c r="C19" s="1"/>
      <c r="D19" s="1"/>
      <c r="E19" s="1"/>
      <c r="F19" s="1"/>
      <c r="G19" s="341"/>
      <c r="H19" s="1"/>
      <c r="I19" s="341"/>
      <c r="J19" s="1"/>
      <c r="K19" s="341"/>
      <c r="L19" s="1"/>
      <c r="M19" s="341"/>
      <c r="N19" s="1"/>
    </row>
    <row r="20" spans="1:14" ht="15.75" thickBot="1" x14ac:dyDescent="0.3">
      <c r="A20" s="469" t="s">
        <v>52</v>
      </c>
      <c r="B20" s="470"/>
      <c r="C20" s="48">
        <f>C18/N18</f>
        <v>0.14217222895106069</v>
      </c>
      <c r="D20" s="47">
        <f>D18/N18</f>
        <v>7.4436676300231444E-2</v>
      </c>
      <c r="E20" s="48">
        <f>E18/N18</f>
        <v>4.5365695715262208E-2</v>
      </c>
      <c r="F20" s="47">
        <f>F18/N18</f>
        <v>8.3886363908908843E-2</v>
      </c>
      <c r="G20" s="48">
        <f>G18/N18</f>
        <v>8.1598292340716402E-2</v>
      </c>
      <c r="H20" s="47">
        <f>H18/N18</f>
        <v>0.1190996414395184</v>
      </c>
      <c r="I20" s="48">
        <f>I18/N18</f>
        <v>0.16600750698533379</v>
      </c>
      <c r="J20" s="47">
        <f>J18/N18</f>
        <v>0.1043974624950533</v>
      </c>
      <c r="K20" s="48">
        <f>K18/N18</f>
        <v>5.7113048483612948E-2</v>
      </c>
      <c r="L20" s="47">
        <f>L18/N18</f>
        <v>0.12592308338030195</v>
      </c>
      <c r="M20" s="342">
        <f>M18/N18</f>
        <v>0</v>
      </c>
      <c r="N20" s="251">
        <f>SUM(C20:M20)</f>
        <v>1</v>
      </c>
    </row>
  </sheetData>
  <mergeCells count="17">
    <mergeCell ref="N2:N4"/>
    <mergeCell ref="C3:C4"/>
    <mergeCell ref="D3:D4"/>
    <mergeCell ref="E3:E4"/>
    <mergeCell ref="F3:F4"/>
    <mergeCell ref="G3:G4"/>
    <mergeCell ref="L3:L4"/>
    <mergeCell ref="C2:M2"/>
    <mergeCell ref="M3:M4"/>
    <mergeCell ref="A20:B20"/>
    <mergeCell ref="C1:K1"/>
    <mergeCell ref="A2:A4"/>
    <mergeCell ref="B2:B4"/>
    <mergeCell ref="H3:H4"/>
    <mergeCell ref="I3:I4"/>
    <mergeCell ref="J3:J4"/>
    <mergeCell ref="K3:K4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activeCell="G28" sqref="G28"/>
    </sheetView>
  </sheetViews>
  <sheetFormatPr defaultRowHeight="15" x14ac:dyDescent="0.25"/>
  <cols>
    <col min="1" max="1" width="4.42578125" customWidth="1"/>
    <col min="2" max="2" width="28.28515625" customWidth="1"/>
    <col min="3" max="3" width="9.140625" customWidth="1"/>
  </cols>
  <sheetData>
    <row r="1" spans="1:14" ht="26.25" customHeight="1" thickBot="1" x14ac:dyDescent="0.3">
      <c r="A1" s="120"/>
      <c r="B1" s="26"/>
      <c r="C1" s="457" t="s">
        <v>105</v>
      </c>
      <c r="D1" s="458"/>
      <c r="E1" s="458"/>
      <c r="F1" s="458"/>
      <c r="G1" s="458"/>
      <c r="H1" s="458"/>
      <c r="I1" s="458"/>
      <c r="J1" s="459"/>
      <c r="K1" s="459"/>
      <c r="L1" s="26"/>
      <c r="M1" s="26"/>
      <c r="N1" s="155" t="s">
        <v>51</v>
      </c>
    </row>
    <row r="2" spans="1:14" ht="15.75" thickBot="1" x14ac:dyDescent="0.3">
      <c r="A2" s="460" t="s">
        <v>0</v>
      </c>
      <c r="B2" s="462" t="s">
        <v>1</v>
      </c>
      <c r="C2" s="495" t="s">
        <v>2</v>
      </c>
      <c r="D2" s="496"/>
      <c r="E2" s="496"/>
      <c r="F2" s="496"/>
      <c r="G2" s="496"/>
      <c r="H2" s="496"/>
      <c r="I2" s="496"/>
      <c r="J2" s="496"/>
      <c r="K2" s="496"/>
      <c r="L2" s="496"/>
      <c r="M2" s="497"/>
      <c r="N2" s="507" t="s">
        <v>3</v>
      </c>
    </row>
    <row r="3" spans="1:14" ht="12.75" customHeight="1" x14ac:dyDescent="0.25">
      <c r="A3" s="499"/>
      <c r="B3" s="501"/>
      <c r="C3" s="526" t="s">
        <v>68</v>
      </c>
      <c r="D3" s="501" t="s">
        <v>4</v>
      </c>
      <c r="E3" s="521" t="s">
        <v>5</v>
      </c>
      <c r="F3" s="501" t="s">
        <v>6</v>
      </c>
      <c r="G3" s="503" t="s">
        <v>8</v>
      </c>
      <c r="H3" s="462" t="s">
        <v>93</v>
      </c>
      <c r="I3" s="503" t="s">
        <v>96</v>
      </c>
      <c r="J3" s="522" t="s">
        <v>37</v>
      </c>
      <c r="K3" s="503" t="s">
        <v>92</v>
      </c>
      <c r="L3" s="462" t="s">
        <v>10</v>
      </c>
      <c r="M3" s="530" t="s">
        <v>95</v>
      </c>
      <c r="N3" s="508"/>
    </row>
    <row r="4" spans="1:14" ht="9" customHeight="1" x14ac:dyDescent="0.25">
      <c r="A4" s="518"/>
      <c r="B4" s="519"/>
      <c r="C4" s="527"/>
      <c r="D4" s="519"/>
      <c r="E4" s="529"/>
      <c r="F4" s="519"/>
      <c r="G4" s="521"/>
      <c r="H4" s="501"/>
      <c r="I4" s="521"/>
      <c r="J4" s="523"/>
      <c r="K4" s="521"/>
      <c r="L4" s="501"/>
      <c r="M4" s="531"/>
      <c r="N4" s="525"/>
    </row>
    <row r="5" spans="1:14" ht="5.25" customHeight="1" thickBot="1" x14ac:dyDescent="0.3">
      <c r="A5" s="500"/>
      <c r="B5" s="502"/>
      <c r="C5" s="528"/>
      <c r="D5" s="500"/>
      <c r="E5" s="500"/>
      <c r="F5" s="500"/>
      <c r="G5" s="504"/>
      <c r="H5" s="463"/>
      <c r="I5" s="504"/>
      <c r="J5" s="524"/>
      <c r="K5" s="504"/>
      <c r="L5" s="463"/>
      <c r="M5" s="532"/>
      <c r="N5" s="509"/>
    </row>
    <row r="6" spans="1:14" ht="15.75" thickBot="1" x14ac:dyDescent="0.3">
      <c r="A6" s="30">
        <v>1</v>
      </c>
      <c r="B6" s="31" t="s">
        <v>38</v>
      </c>
      <c r="C6" s="61">
        <f>[1]STA_SP2_NO!$D$11</f>
        <v>245990.32</v>
      </c>
      <c r="D6" s="68">
        <f>[2]STA_SP2_NO!$D$11</f>
        <v>127148</v>
      </c>
      <c r="E6" s="117">
        <f>[3]STA_SP2_NO!$D$11</f>
        <v>87815</v>
      </c>
      <c r="F6" s="126">
        <f>[4]STA_SP2_NO!$D$11</f>
        <v>153562.85999999999</v>
      </c>
      <c r="G6" s="117">
        <f>[5]STA_SP2_NO!$D$11</f>
        <v>149104</v>
      </c>
      <c r="H6" s="126">
        <f>[6]STA_SP2_NO!$D$11</f>
        <v>223450.94</v>
      </c>
      <c r="I6" s="117">
        <f>[7]STA_SP2_NO!$D$11</f>
        <v>319287</v>
      </c>
      <c r="J6" s="68">
        <f>[8]STA_SP2_NO!$D$11</f>
        <v>182707</v>
      </c>
      <c r="K6" s="62">
        <f>[9]STA_SP2_NO!$D$11</f>
        <v>104776.84</v>
      </c>
      <c r="L6" s="68">
        <f>[10]STA_SP2_NO!$D$11</f>
        <v>224804</v>
      </c>
      <c r="M6" s="332">
        <f>[11]STA_SP2_NO!$D$11</f>
        <v>0</v>
      </c>
      <c r="N6" s="249">
        <f t="shared" ref="N6:N18" si="0">SUM(C6:M6)</f>
        <v>1818645.96</v>
      </c>
    </row>
    <row r="7" spans="1:14" ht="15.75" thickBot="1" x14ac:dyDescent="0.3">
      <c r="A7" s="32">
        <v>2</v>
      </c>
      <c r="B7" s="33" t="s">
        <v>39</v>
      </c>
      <c r="C7" s="61">
        <f>[1]STA_SP2_NO!$D$12</f>
        <v>61234.03</v>
      </c>
      <c r="D7" s="68">
        <f>[2]STA_SP2_NO!$D$12</f>
        <v>29118.28</v>
      </c>
      <c r="E7" s="117">
        <f>[3]STA_SP2_NO!$D$12</f>
        <v>17851</v>
      </c>
      <c r="F7" s="126">
        <f>[4]STA_SP2_NO!$D$12</f>
        <v>40142.94</v>
      </c>
      <c r="G7" s="117">
        <f>[5]STA_SP2_NO!$D$12</f>
        <v>27173</v>
      </c>
      <c r="H7" s="126">
        <f>[6]STA_SP2_NO!$D$12</f>
        <v>35257.79</v>
      </c>
      <c r="I7" s="117">
        <f>[7]STA_SP2_NO!$D$12</f>
        <v>68591</v>
      </c>
      <c r="J7" s="68">
        <f>[8]STA_SP2_NO!$D$12</f>
        <v>38459</v>
      </c>
      <c r="K7" s="62">
        <f>[9]STA_SP2_NO!$D$12</f>
        <v>26873.52</v>
      </c>
      <c r="L7" s="68">
        <f>[10]STA_SP2_NO!$D$12</f>
        <v>39413</v>
      </c>
      <c r="M7" s="332">
        <f>[11]STA_SP2_NO!$D$12</f>
        <v>0</v>
      </c>
      <c r="N7" s="249">
        <f t="shared" si="0"/>
        <v>384113.56000000006</v>
      </c>
    </row>
    <row r="8" spans="1:14" ht="15.75" thickBot="1" x14ac:dyDescent="0.3">
      <c r="A8" s="32">
        <v>3</v>
      </c>
      <c r="B8" s="33" t="s">
        <v>40</v>
      </c>
      <c r="C8" s="61">
        <f>[1]STA_SP2_NO!$D$13</f>
        <v>6182.03</v>
      </c>
      <c r="D8" s="68">
        <f>[2]STA_SP2_NO!$D$13</f>
        <v>3271.35</v>
      </c>
      <c r="E8" s="117">
        <f>[3]STA_SP2_NO!$D$13</f>
        <v>2070</v>
      </c>
      <c r="F8" s="126">
        <f>[4]STA_SP2_NO!$D$13</f>
        <v>4408.1499999999996</v>
      </c>
      <c r="G8" s="117">
        <f>[5]STA_SP2_NO!$D$13</f>
        <v>2296</v>
      </c>
      <c r="H8" s="126">
        <f>[6]STA_SP2_NO!$D$13</f>
        <v>2768.3</v>
      </c>
      <c r="I8" s="117">
        <f>[7]STA_SP2_NO!$D$13</f>
        <v>9107</v>
      </c>
      <c r="J8" s="68">
        <f>[8]STA_SP2_NO!$D$13</f>
        <v>6188</v>
      </c>
      <c r="K8" s="62">
        <f>[9]STA_SP2_NO!$D$13</f>
        <v>2197.39</v>
      </c>
      <c r="L8" s="68">
        <f>[10]STA_SP2_NO!$D$13</f>
        <v>2431</v>
      </c>
      <c r="M8" s="332">
        <f>[11]STA_SP2_NO!$D$13</f>
        <v>0</v>
      </c>
      <c r="N8" s="249">
        <f t="shared" si="0"/>
        <v>40919.22</v>
      </c>
    </row>
    <row r="9" spans="1:14" ht="15.75" thickBot="1" x14ac:dyDescent="0.3">
      <c r="A9" s="32">
        <v>4</v>
      </c>
      <c r="B9" s="33" t="s">
        <v>41</v>
      </c>
      <c r="C9" s="61">
        <f>[1]STA_SP2_NO!$D$14</f>
        <v>1496.36</v>
      </c>
      <c r="D9" s="68">
        <f>[2]STA_SP2_NO!$D$14</f>
        <v>981.07</v>
      </c>
      <c r="E9" s="117">
        <f>[3]STA_SP2_NO!$D$14</f>
        <v>245</v>
      </c>
      <c r="F9" s="126">
        <f>[4]STA_SP2_NO!$D$14</f>
        <v>597.61</v>
      </c>
      <c r="G9" s="117">
        <f>[5]STA_SP2_NO!$D$14</f>
        <v>529</v>
      </c>
      <c r="H9" s="126">
        <f>[6]STA_SP2_NO!$D$14</f>
        <v>948.57</v>
      </c>
      <c r="I9" s="117">
        <f>[7]STA_SP2_NO!$D$14</f>
        <v>966</v>
      </c>
      <c r="J9" s="68">
        <f>[8]STA_SP2_NO!$D$14</f>
        <v>1370</v>
      </c>
      <c r="K9" s="62">
        <f>[9]STA_SP2_NO!$D$14</f>
        <v>682.54</v>
      </c>
      <c r="L9" s="68">
        <f>[10]STA_SP2_NO!$D$14</f>
        <v>1315</v>
      </c>
      <c r="M9" s="332">
        <f>[11]STA_SP2_NO!$D$14</f>
        <v>0</v>
      </c>
      <c r="N9" s="249">
        <f t="shared" si="0"/>
        <v>9131.15</v>
      </c>
    </row>
    <row r="10" spans="1:14" ht="15.75" thickBot="1" x14ac:dyDescent="0.3">
      <c r="A10" s="32">
        <v>5</v>
      </c>
      <c r="B10" s="33" t="s">
        <v>42</v>
      </c>
      <c r="C10" s="61">
        <f>[1]STA_SP2_NO!$D$15</f>
        <v>170.15</v>
      </c>
      <c r="D10" s="68">
        <f>[2]STA_SP2_NO!$D$15</f>
        <v>70.11</v>
      </c>
      <c r="E10" s="117">
        <f>[3]STA_SP2_NO!$D$15</f>
        <v>139</v>
      </c>
      <c r="F10" s="126">
        <f>[4]STA_SP2_NO!$D$15</f>
        <v>119.66</v>
      </c>
      <c r="G10" s="117">
        <f>[5]STA_SP2_NO!$D$15</f>
        <v>90</v>
      </c>
      <c r="H10" s="126">
        <f>[6]STA_SP2_NO!$D$15</f>
        <v>788.51</v>
      </c>
      <c r="I10" s="117">
        <f>[7]STA_SP2_NO!$D$15</f>
        <v>156</v>
      </c>
      <c r="J10" s="68">
        <f>[8]STA_SP2_NO!$D$15</f>
        <v>515</v>
      </c>
      <c r="K10" s="62">
        <f>[9]STA_SP2_NO!$D$15</f>
        <v>118.7</v>
      </c>
      <c r="L10" s="68">
        <f>[10]STA_SP2_NO!$D$15</f>
        <v>175</v>
      </c>
      <c r="M10" s="332">
        <f>[11]STA_SP2_NO!$D$15</f>
        <v>0</v>
      </c>
      <c r="N10" s="249">
        <f t="shared" si="0"/>
        <v>2342.1299999999997</v>
      </c>
    </row>
    <row r="11" spans="1:14" ht="15.75" thickBot="1" x14ac:dyDescent="0.3">
      <c r="A11" s="32">
        <v>6</v>
      </c>
      <c r="B11" s="33" t="s">
        <v>43</v>
      </c>
      <c r="C11" s="61">
        <f>[1]STA_SP2_NO!$D$16</f>
        <v>8801.9500000000007</v>
      </c>
      <c r="D11" s="68">
        <f>[2]STA_SP2_NO!$D$16</f>
        <v>5174.1000000000004</v>
      </c>
      <c r="E11" s="117">
        <f>[3]STA_SP2_NO!$D$16</f>
        <v>2644</v>
      </c>
      <c r="F11" s="126">
        <f>[4]STA_SP2_NO!$D$16</f>
        <v>8149.2</v>
      </c>
      <c r="G11" s="117">
        <f>[5]STA_SP2_NO!$D$16</f>
        <v>4123</v>
      </c>
      <c r="H11" s="126">
        <f>[6]STA_SP2_NO!$D$16</f>
        <v>8714.48</v>
      </c>
      <c r="I11" s="117">
        <f>[7]STA_SP2_NO!$D$16</f>
        <v>9311</v>
      </c>
      <c r="J11" s="68">
        <f>[8]STA_SP2_NO!$D$16</f>
        <v>6453</v>
      </c>
      <c r="K11" s="62">
        <f>[9]STA_SP2_NO!$D$16</f>
        <v>3170.06</v>
      </c>
      <c r="L11" s="68">
        <f>[10]STA_SP2_NO!$D$16</f>
        <v>10387</v>
      </c>
      <c r="M11" s="332">
        <f>[11]STA_SP2_NO!$D$16</f>
        <v>0</v>
      </c>
      <c r="N11" s="249">
        <f t="shared" si="0"/>
        <v>66927.790000000008</v>
      </c>
    </row>
    <row r="12" spans="1:14" ht="15.75" thickBot="1" x14ac:dyDescent="0.3">
      <c r="A12" s="32">
        <v>7</v>
      </c>
      <c r="B12" s="33" t="s">
        <v>44</v>
      </c>
      <c r="C12" s="61">
        <f>[1]STA_SP2_NO!$D$17</f>
        <v>500.61</v>
      </c>
      <c r="D12" s="68">
        <f>[2]STA_SP2_NO!$D$17</f>
        <v>331.86</v>
      </c>
      <c r="E12" s="117">
        <f>[3]STA_SP2_NO!$D$17</f>
        <v>120</v>
      </c>
      <c r="F12" s="126">
        <f>[4]STA_SP2_NO!$D$17</f>
        <v>318.60000000000002</v>
      </c>
      <c r="G12" s="117">
        <f>[5]STA_SP2_NO!$D$17</f>
        <v>185</v>
      </c>
      <c r="H12" s="126">
        <f>[6]STA_SP2_NO!$D$17</f>
        <v>279.97000000000003</v>
      </c>
      <c r="I12" s="117">
        <f>[7]STA_SP2_NO!$D$17</f>
        <v>437</v>
      </c>
      <c r="J12" s="68">
        <f>[8]STA_SP2_NO!$D$17</f>
        <v>383</v>
      </c>
      <c r="K12" s="62">
        <f>[9]STA_SP2_NO!$D$17</f>
        <v>238.3</v>
      </c>
      <c r="L12" s="68">
        <f>[10]STA_SP2_NO!$D$17</f>
        <v>355</v>
      </c>
      <c r="M12" s="332">
        <f>[11]STA_SP2_NO!$D$17</f>
        <v>0</v>
      </c>
      <c r="N12" s="249">
        <f t="shared" si="0"/>
        <v>3149.34</v>
      </c>
    </row>
    <row r="13" spans="1:14" ht="15.75" thickBot="1" x14ac:dyDescent="0.3">
      <c r="A13" s="32">
        <v>8</v>
      </c>
      <c r="B13" s="33" t="s">
        <v>45</v>
      </c>
      <c r="C13" s="61">
        <f>[1]STA_SP2_NO!$D$18</f>
        <v>923.52</v>
      </c>
      <c r="D13" s="68">
        <f>[2]STA_SP2_NO!$D$18</f>
        <v>263.27</v>
      </c>
      <c r="E13" s="117">
        <f>[3]STA_SP2_NO!$D$18</f>
        <v>192</v>
      </c>
      <c r="F13" s="126">
        <f>[4]STA_SP2_NO!$D$18</f>
        <v>473.75</v>
      </c>
      <c r="G13" s="117">
        <f>[5]STA_SP2_NO!$D$18</f>
        <v>500</v>
      </c>
      <c r="H13" s="126">
        <f>[6]STA_SP2_NO!$D$18</f>
        <v>0</v>
      </c>
      <c r="I13" s="117">
        <f>[7]STA_SP2_NO!$D$18</f>
        <v>1001</v>
      </c>
      <c r="J13" s="68">
        <f>[8]STA_SP2_NO!$D$18</f>
        <v>799</v>
      </c>
      <c r="K13" s="62">
        <f>[9]STA_SP2_NO!$D$18</f>
        <v>333.27</v>
      </c>
      <c r="L13" s="68">
        <f>[10]STA_SP2_NO!$D$18</f>
        <v>553</v>
      </c>
      <c r="M13" s="332">
        <f>[11]STA_SP2_NO!$D$18</f>
        <v>0</v>
      </c>
      <c r="N13" s="249">
        <f t="shared" si="0"/>
        <v>5038.8099999999995</v>
      </c>
    </row>
    <row r="14" spans="1:14" ht="23.25" thickBot="1" x14ac:dyDescent="0.3">
      <c r="A14" s="32">
        <v>9</v>
      </c>
      <c r="B14" s="53" t="s">
        <v>46</v>
      </c>
      <c r="C14" s="61">
        <f>[1]STA_SP2_NO!$D$19</f>
        <v>0</v>
      </c>
      <c r="D14" s="68">
        <f>[2]STA_SP2_NO!$D$19</f>
        <v>0</v>
      </c>
      <c r="E14" s="117">
        <f>[3]STA_SP2_NO!$D$19</f>
        <v>0</v>
      </c>
      <c r="F14" s="126">
        <f>[4]STA_SP2_NO!$D$19</f>
        <v>0</v>
      </c>
      <c r="G14" s="117">
        <f>[5]STA_SP2_NO!$D$19</f>
        <v>0</v>
      </c>
      <c r="H14" s="126">
        <f>[6]STA_SP2_NO!$D$19</f>
        <v>0</v>
      </c>
      <c r="I14" s="117">
        <f>[7]STA_SP2_NO!$D$19</f>
        <v>0</v>
      </c>
      <c r="J14" s="68">
        <f>[8]STA_SP2_NO!$D$19</f>
        <v>0</v>
      </c>
      <c r="K14" s="62">
        <f>[9]STA_SP2_NO!$D$19</f>
        <v>0</v>
      </c>
      <c r="L14" s="68">
        <f>[10]STA_SP2_NO!$D$19</f>
        <v>0</v>
      </c>
      <c r="M14" s="332">
        <f>[11]STA_SP2_NO!$D$19</f>
        <v>0</v>
      </c>
      <c r="N14" s="249">
        <f t="shared" si="0"/>
        <v>0</v>
      </c>
    </row>
    <row r="15" spans="1:14" ht="23.25" thickBot="1" x14ac:dyDescent="0.3">
      <c r="A15" s="32">
        <v>10</v>
      </c>
      <c r="B15" s="53" t="s">
        <v>47</v>
      </c>
      <c r="C15" s="61">
        <f>[1]STA_SP2_NO!$D$20</f>
        <v>0</v>
      </c>
      <c r="D15" s="68">
        <f>[2]STA_SP2_NO!$D$20</f>
        <v>0</v>
      </c>
      <c r="E15" s="117">
        <f>[3]STA_SP2_NO!$D$20</f>
        <v>0</v>
      </c>
      <c r="F15" s="126">
        <f>[4]STA_SP2_NO!$D$20</f>
        <v>0</v>
      </c>
      <c r="G15" s="117">
        <f>[5]STA_SP2_NO!$D$20</f>
        <v>0</v>
      </c>
      <c r="H15" s="126">
        <f>[6]STA_SP2_NO!$D$20</f>
        <v>0</v>
      </c>
      <c r="I15" s="117">
        <f>[7]STA_SP2_NO!$D$20</f>
        <v>0</v>
      </c>
      <c r="J15" s="68">
        <f>[8]STA_SP2_NO!$D$20</f>
        <v>0</v>
      </c>
      <c r="K15" s="62">
        <f>[9]STA_SP2_NO!$D$20</f>
        <v>0</v>
      </c>
      <c r="L15" s="68">
        <f>[10]STA_SP2_NO!$D$20</f>
        <v>0</v>
      </c>
      <c r="M15" s="332">
        <f>[11]STA_SP2_NO!$D$20</f>
        <v>0</v>
      </c>
      <c r="N15" s="249">
        <f t="shared" si="0"/>
        <v>0</v>
      </c>
    </row>
    <row r="16" spans="1:14" ht="15.75" thickBot="1" x14ac:dyDescent="0.3">
      <c r="A16" s="32">
        <v>11</v>
      </c>
      <c r="B16" s="33" t="s">
        <v>48</v>
      </c>
      <c r="C16" s="61">
        <f>[1]STA_SP2_NO!$D$21</f>
        <v>0</v>
      </c>
      <c r="D16" s="68">
        <f>[2]STA_SP2_NO!$D$21</f>
        <v>0</v>
      </c>
      <c r="E16" s="117">
        <f>[3]STA_SP2_NO!$D$21</f>
        <v>0</v>
      </c>
      <c r="F16" s="126">
        <f>[4]STA_SP2_NO!$D$21</f>
        <v>0</v>
      </c>
      <c r="G16" s="117">
        <f>[5]STA_SP2_NO!$D$21</f>
        <v>179</v>
      </c>
      <c r="H16" s="126">
        <f>[6]STA_SP2_NO!$D$21</f>
        <v>0</v>
      </c>
      <c r="I16" s="117">
        <f>[7]STA_SP2_NO!$D$21</f>
        <v>0</v>
      </c>
      <c r="J16" s="68">
        <f>[8]STA_SP2_NO!$D$21</f>
        <v>0</v>
      </c>
      <c r="K16" s="62">
        <f>[9]STA_SP2_NO!$D$21</f>
        <v>0</v>
      </c>
      <c r="L16" s="68">
        <f>[10]STA_SP2_NO!$D$21</f>
        <v>0</v>
      </c>
      <c r="M16" s="332">
        <f>[11]STA_SP2_NO!$D$21</f>
        <v>0</v>
      </c>
      <c r="N16" s="249">
        <f t="shared" si="0"/>
        <v>179</v>
      </c>
    </row>
    <row r="17" spans="1:14" ht="45.75" thickBot="1" x14ac:dyDescent="0.3">
      <c r="A17" s="32">
        <v>12</v>
      </c>
      <c r="B17" s="53" t="s">
        <v>49</v>
      </c>
      <c r="C17" s="61">
        <f>[1]STA_SP2_NO!$D$22</f>
        <v>0</v>
      </c>
      <c r="D17" s="68">
        <f>[2]STA_SP2_NO!$D$22</f>
        <v>0</v>
      </c>
      <c r="E17" s="117">
        <f>[3]STA_SP2_NO!$D$22</f>
        <v>0</v>
      </c>
      <c r="F17" s="126">
        <f>[4]STA_SP2_NO!$D$22</f>
        <v>0</v>
      </c>
      <c r="G17" s="117">
        <f>[5]STA_SP2_NO!$D$22</f>
        <v>0</v>
      </c>
      <c r="H17" s="126">
        <f>[6]STA_SP2_NO!$D$22</f>
        <v>0</v>
      </c>
      <c r="I17" s="117">
        <f>[7]STA_SP2_NO!$D$22</f>
        <v>0</v>
      </c>
      <c r="J17" s="68">
        <f>[8]STA_SP2_NO!$D$22</f>
        <v>0</v>
      </c>
      <c r="K17" s="62">
        <f>[9]STA_SP2_NO!$D$22</f>
        <v>0</v>
      </c>
      <c r="L17" s="68">
        <f>[10]STA_SP2_NO!$D$22</f>
        <v>0</v>
      </c>
      <c r="M17" s="386">
        <f>[11]STA_SP2_NO!$D$22</f>
        <v>0</v>
      </c>
      <c r="N17" s="249">
        <f t="shared" si="0"/>
        <v>0</v>
      </c>
    </row>
    <row r="18" spans="1:14" ht="34.5" thickBot="1" x14ac:dyDescent="0.3">
      <c r="A18" s="32">
        <v>13</v>
      </c>
      <c r="B18" s="53" t="s">
        <v>50</v>
      </c>
      <c r="C18" s="61">
        <f>[1]STA_SP2_NO!$D$23</f>
        <v>208.47</v>
      </c>
      <c r="D18" s="68">
        <f>[2]STA_SP2_NO!$D$23</f>
        <v>0</v>
      </c>
      <c r="E18" s="117">
        <f>[3]STA_SP2_NO!$D$23</f>
        <v>0</v>
      </c>
      <c r="F18" s="126">
        <f>[4]STA_SP2_NO!$D$23</f>
        <v>0</v>
      </c>
      <c r="G18" s="117">
        <f>[5]STA_SP2_NO!$D$23</f>
        <v>150</v>
      </c>
      <c r="H18" s="126">
        <f>[6]STA_SP2_NO!$D$23</f>
        <v>0</v>
      </c>
      <c r="I18" s="117">
        <f>[7]STA_SP2_NO!$D$23</f>
        <v>0</v>
      </c>
      <c r="J18" s="68">
        <f>[8]STA_SP2_NO!$D$23</f>
        <v>0</v>
      </c>
      <c r="K18" s="62">
        <f>[9]STA_SP2_NO!$D$23</f>
        <v>0</v>
      </c>
      <c r="L18" s="68">
        <f>[10]STA_SP2_NO!$D$23</f>
        <v>4</v>
      </c>
      <c r="M18" s="386">
        <f>[11]STA_SP2_NO!$D$23</f>
        <v>0</v>
      </c>
      <c r="N18" s="249">
        <f t="shared" si="0"/>
        <v>362.47</v>
      </c>
    </row>
    <row r="19" spans="1:14" ht="15.75" thickBot="1" x14ac:dyDescent="0.3">
      <c r="A19" s="36"/>
      <c r="B19" s="37" t="s">
        <v>36</v>
      </c>
      <c r="C19" s="41">
        <f t="shared" ref="C19:E19" si="1">SUM(C6:C18)</f>
        <v>325507.44</v>
      </c>
      <c r="D19" s="42">
        <f>SUM(D6:D18)</f>
        <v>166358.03999999998</v>
      </c>
      <c r="E19" s="41">
        <f t="shared" si="1"/>
        <v>111076</v>
      </c>
      <c r="F19" s="39">
        <f t="shared" ref="F19:N19" si="2">SUM(F6:F18)</f>
        <v>207772.77</v>
      </c>
      <c r="G19" s="41">
        <f t="shared" si="2"/>
        <v>184329</v>
      </c>
      <c r="H19" s="42">
        <f t="shared" si="2"/>
        <v>272208.55999999994</v>
      </c>
      <c r="I19" s="41">
        <f t="shared" si="2"/>
        <v>408856</v>
      </c>
      <c r="J19" s="42">
        <f t="shared" si="2"/>
        <v>236874</v>
      </c>
      <c r="K19" s="41">
        <f t="shared" si="2"/>
        <v>138390.62</v>
      </c>
      <c r="L19" s="42">
        <f t="shared" si="2"/>
        <v>279437</v>
      </c>
      <c r="M19" s="333">
        <f t="shared" si="2"/>
        <v>0</v>
      </c>
      <c r="N19" s="250">
        <f t="shared" si="2"/>
        <v>2330809.4300000002</v>
      </c>
    </row>
    <row r="20" spans="1:14" ht="15.75" thickBot="1" x14ac:dyDescent="0.3">
      <c r="A20" s="1"/>
      <c r="B20" s="1"/>
      <c r="C20" s="1"/>
      <c r="D20" s="1"/>
      <c r="E20" s="1"/>
      <c r="F20" s="1"/>
      <c r="G20" s="341"/>
      <c r="H20" s="1"/>
      <c r="I20" s="341"/>
      <c r="J20" s="1"/>
      <c r="K20" s="341"/>
      <c r="L20" s="1"/>
      <c r="M20" s="341"/>
      <c r="N20" s="1"/>
    </row>
    <row r="21" spans="1:14" ht="15.75" thickBot="1" x14ac:dyDescent="0.3">
      <c r="A21" s="469" t="s">
        <v>52</v>
      </c>
      <c r="B21" s="520"/>
      <c r="C21" s="55">
        <f>C19/N19</f>
        <v>0.13965424878172042</v>
      </c>
      <c r="D21" s="56">
        <f>D19/N19</f>
        <v>7.1373505640913756E-2</v>
      </c>
      <c r="E21" s="48">
        <f>E19/N19</f>
        <v>4.7655547712452832E-2</v>
      </c>
      <c r="F21" s="47">
        <f>F19/N19</f>
        <v>8.9141895225642698E-2</v>
      </c>
      <c r="G21" s="70">
        <f>G19/N19</f>
        <v>7.9083685533226963E-2</v>
      </c>
      <c r="H21" s="47">
        <f>H19/N19</f>
        <v>0.11678713690462456</v>
      </c>
      <c r="I21" s="70">
        <f>I19/N19</f>
        <v>0.17541374028163254</v>
      </c>
      <c r="J21" s="47">
        <f>J19/N19</f>
        <v>0.10162735612409118</v>
      </c>
      <c r="K21" s="70">
        <f>K19/N19</f>
        <v>5.9374489487971562E-2</v>
      </c>
      <c r="L21" s="47">
        <f>L19/N19</f>
        <v>0.11988839430772338</v>
      </c>
      <c r="M21" s="342">
        <f>M19/N19</f>
        <v>0</v>
      </c>
      <c r="N21" s="258">
        <f>SUM(C21:M21)</f>
        <v>0.99999999999999978</v>
      </c>
    </row>
  </sheetData>
  <mergeCells count="17">
    <mergeCell ref="N2:N5"/>
    <mergeCell ref="C3:C5"/>
    <mergeCell ref="D3:D5"/>
    <mergeCell ref="E3:E5"/>
    <mergeCell ref="F3:F5"/>
    <mergeCell ref="G3:G5"/>
    <mergeCell ref="L3:L5"/>
    <mergeCell ref="C2:M2"/>
    <mergeCell ref="M3:M5"/>
    <mergeCell ref="C1:K1"/>
    <mergeCell ref="A2:A5"/>
    <mergeCell ref="B2:B5"/>
    <mergeCell ref="A21:B21"/>
    <mergeCell ref="H3:H5"/>
    <mergeCell ref="I3:I5"/>
    <mergeCell ref="J3:J5"/>
    <mergeCell ref="K3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Премија</vt:lpstr>
      <vt:lpstr>Број на склучени договори</vt:lpstr>
      <vt:lpstr>Ликвидирани штети</vt:lpstr>
      <vt:lpstr>Број на ликвидирани штети</vt:lpstr>
      <vt:lpstr>Број на резервирани штети</vt:lpstr>
      <vt:lpstr>Резервации</vt:lpstr>
      <vt:lpstr>Не пријавени штети</vt:lpstr>
      <vt:lpstr>ЗАО договори</vt:lpstr>
      <vt:lpstr>ЗАО Премија</vt:lpstr>
      <vt:lpstr>ЗК Број Премија</vt:lpstr>
      <vt:lpstr>ГР Број и Премија </vt:lpstr>
      <vt:lpstr>ЗАО број Лик штети</vt:lpstr>
      <vt:lpstr>ЗАО Ликвидирани штети</vt:lpstr>
      <vt:lpstr>ЗК број и штети</vt:lpstr>
      <vt:lpstr>ГР Број Штети</vt:lpstr>
      <vt:lpstr>Техничка премија</vt:lpstr>
      <vt:lpstr>Рез за настанати при штети</vt:lpstr>
      <vt:lpstr>Продажба по канали</vt:lpstr>
      <vt:lpstr>Бруто тех</vt:lpstr>
      <vt:lpstr>Вкупно</vt:lpstr>
      <vt:lpstr>Преносна премија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BetiMitrovska</dc:creator>
  <cp:lastModifiedBy>Viktorija</cp:lastModifiedBy>
  <cp:lastPrinted>2026-08-11T12:19:20Z</cp:lastPrinted>
  <dcterms:created xsi:type="dcterms:W3CDTF">2013-08-27T07:05:34Z</dcterms:created>
  <dcterms:modified xsi:type="dcterms:W3CDTF">2026-08-11T12:22:14Z</dcterms:modified>
</cp:coreProperties>
</file>